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6" windowWidth="19020" windowHeight="10908" tabRatio="780" firstSheet="3" activeTab="3"/>
  </bookViews>
  <sheets>
    <sheet name="Air Data" sheetId="1" state="hidden" r:id="rId1"/>
    <sheet name="Water Data" sheetId="2" state="hidden" r:id="rId2"/>
    <sheet name="6.CS_Imp" sheetId="3" state="hidden" r:id="rId3"/>
    <sheet name="Index" sheetId="4" r:id="rId4"/>
    <sheet name="1. O.P Air" sheetId="5" r:id="rId5"/>
    <sheet name="2. O.P. Water, beta &lt; 0.3" sheetId="6" r:id="rId6"/>
    <sheet name="3. O.P. Water, beta &gt; 0.3" sheetId="7" r:id="rId7"/>
    <sheet name="4. On-line OP calc." sheetId="8" r:id="rId8"/>
    <sheet name="5. Cameron" sheetId="9" r:id="rId9"/>
    <sheet name="Ref" sheetId="10" r:id="rId10"/>
  </sheets>
  <externalReferences>
    <externalReference r:id="rId13"/>
  </externalReferences>
  <definedNames>
    <definedName name="g">'1. O.P Air'!$Q$82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<sst xmlns="http://schemas.openxmlformats.org/spreadsheetml/2006/main" count="1305" uniqueCount="393">
  <si>
    <t xml:space="preserve"> </t>
  </si>
  <si>
    <t>Q =</t>
  </si>
  <si>
    <t>°C</t>
  </si>
  <si>
    <t>mm</t>
  </si>
  <si>
    <t xml:space="preserve">m </t>
  </si>
  <si>
    <t>m</t>
  </si>
  <si>
    <t>ºC</t>
  </si>
  <si>
    <t>K</t>
  </si>
  <si>
    <t>s =</t>
  </si>
  <si>
    <t>W/(m*K)</t>
  </si>
  <si>
    <t xml:space="preserve"> -</t>
  </si>
  <si>
    <t>p =</t>
  </si>
  <si>
    <t>v =</t>
  </si>
  <si>
    <t>Air</t>
  </si>
  <si>
    <t>Water</t>
  </si>
  <si>
    <t>bar</t>
  </si>
  <si>
    <t xml:space="preserve"> - </t>
  </si>
  <si>
    <t>d =</t>
  </si>
  <si>
    <t>m/s</t>
  </si>
  <si>
    <t>Re =</t>
  </si>
  <si>
    <t>t =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</si>
  <si>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</si>
  <si>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k =</t>
  </si>
  <si>
    <t>n</t>
  </si>
  <si>
    <t>a</t>
  </si>
  <si>
    <t>A =</t>
  </si>
  <si>
    <t>m²</t>
  </si>
  <si>
    <t>m²/s</t>
  </si>
  <si>
    <t>Else</t>
  </si>
  <si>
    <t>End If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</si>
  <si>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</si>
  <si>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</si>
  <si>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</si>
  <si>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</si>
  <si>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</si>
  <si>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kJ/(kg*K)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</si>
  <si>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</si>
  <si>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</si>
  <si>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</si>
  <si>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 xml:space="preserve">Atmospheric air properties as a function </t>
  </si>
  <si>
    <t>of the temperature</t>
  </si>
  <si>
    <t>(Table A.4)</t>
  </si>
  <si>
    <t xml:space="preserve">[1] </t>
  </si>
  <si>
    <t>Psat</t>
  </si>
  <si>
    <t>Saturation properties of water as a function of the temperature</t>
  </si>
  <si>
    <t xml:space="preserve">Saturated Water Properties as a Function </t>
  </si>
  <si>
    <t>of Temperature (Table A.6)</t>
  </si>
  <si>
    <t>Pipe Thickness [mm], according ASME B36.10M</t>
  </si>
  <si>
    <t>ASME B36.10M SCHEDULE / IDENTIFICATION</t>
  </si>
  <si>
    <t>Application</t>
  </si>
  <si>
    <t>Dn =</t>
  </si>
  <si>
    <t>Size</t>
  </si>
  <si>
    <r>
      <t>d</t>
    </r>
    <r>
      <rPr>
        <b/>
        <vertAlign val="subscript"/>
        <sz val="8"/>
        <color indexed="9"/>
        <rFont val="Arial Narrow"/>
        <family val="2"/>
      </rPr>
      <t>ext</t>
    </r>
  </si>
  <si>
    <t>STD</t>
  </si>
  <si>
    <t>XS</t>
  </si>
  <si>
    <t>XXS</t>
  </si>
  <si>
    <t>(with input validation)</t>
  </si>
  <si>
    <t>SCH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</si>
  <si>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</si>
  <si>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Pipe_Imp_CS_Dint_dn_sch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</si>
  <si>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</si>
  <si>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t>Pipe_Imp_CS_Dext_dn</t>
  </si>
  <si>
    <t>Pipe_Imp_CS_Thickness_dn_sch</t>
  </si>
  <si>
    <t>(without input validation)</t>
  </si>
  <si>
    <t>The shedule entered is wrong</t>
  </si>
  <si>
    <t xml:space="preserve">                            'PipeImp_CS_Dext_dn</t>
  </si>
  <si>
    <t xml:space="preserve"> 'The function  PipeImp_CS_Dext_dn  gives the exterior diameter of a pipe with</t>
  </si>
  <si>
    <t xml:space="preserve"> 'nominal diameter   dn [in]</t>
  </si>
  <si>
    <t xml:space="preserve"> 'If the diameter is a fraction, the input cell has to be formated as a fraction</t>
  </si>
  <si>
    <t xml:space="preserve">     </t>
  </si>
  <si>
    <t xml:space="preserve">    Function PipeImp_CS_Dext_dn(Dn)</t>
  </si>
  <si>
    <t xml:space="preserve">    Dim msg As String</t>
  </si>
  <si>
    <t xml:space="preserve">    Dim C(36, 3) As Variant</t>
  </si>
  <si>
    <t xml:space="preserve">    Mensaje = "NO"</t>
  </si>
  <si>
    <t xml:space="preserve">    </t>
  </si>
  <si>
    <t>' Exterior diameters according ASME B36.10M, from Sheet 6.CS_Imp, 3th column</t>
  </si>
  <si>
    <t xml:space="preserve">    For m = 1 To 36</t>
  </si>
  <si>
    <t xml:space="preserve">          C(m, 3) = ThisWorkbook.Worksheets("6.CS_Imp").Cells(m, 3).Value</t>
  </si>
  <si>
    <t xml:space="preserve">    Next m</t>
  </si>
  <si>
    <t>' The corresponding line of the matrix C is asigned to its Dn-value</t>
  </si>
  <si>
    <t>If Dn = 0.5 Then</t>
  </si>
  <si>
    <t>x = 7</t>
  </si>
  <si>
    <t>ElseIf Dn = 0.75 Then x = 8</t>
  </si>
  <si>
    <t>ElseIf Dn = 1 Then x = 9</t>
  </si>
  <si>
    <t>ElseIf Dn = 1.5 Then x = 10</t>
  </si>
  <si>
    <t>ElseIf Dn = 2 Then x = 11</t>
  </si>
  <si>
    <t>ElseIf Dn = 3 Then x = 12</t>
  </si>
  <si>
    <t>ElseIf Dn = 4 Then x = 13</t>
  </si>
  <si>
    <t>ElseIf Dn = 5 Then x = 14</t>
  </si>
  <si>
    <t>ElseIf Dn = 6 Then x = 15</t>
  </si>
  <si>
    <t>ElseIf Dn = 8 Then x = 16</t>
  </si>
  <si>
    <t>ElseIf Dn = 10 Then x = 17</t>
  </si>
  <si>
    <t>ElseIf Dn = 12 Then x = 18</t>
  </si>
  <si>
    <t>ElseIf Dn = 14 Then x = 19</t>
  </si>
  <si>
    <t>ElseIf Dn = 16 Then x = 20</t>
  </si>
  <si>
    <t>ElseIf Dn = 18 Then x = 21</t>
  </si>
  <si>
    <t>ElseIf Dn = 20 Then x = 22</t>
  </si>
  <si>
    <t>ElseIf Dn = 22 Then x = 23</t>
  </si>
  <si>
    <t>ElseIf Dn = 24 Then x = 24</t>
  </si>
  <si>
    <t>ElseIf Dn = 26 Then x = 26</t>
  </si>
  <si>
    <t>ElseIf Dn = 28 Then x = 26</t>
  </si>
  <si>
    <t>ElseIf Dn = 30 Then x = 27</t>
  </si>
  <si>
    <t>ElseIf Dn = 32 Then x = 28</t>
  </si>
  <si>
    <t>ElseIf Dn = 34 Then x = 29</t>
  </si>
  <si>
    <t>ElseIf Dn = 36 Then x = 30</t>
  </si>
  <si>
    <t>ElseIf Dn = 38 Then x = 31</t>
  </si>
  <si>
    <t>ElseIf Dn = 40 Then x = 32</t>
  </si>
  <si>
    <t>ElseIf Dn = 42 Then x = 33</t>
  </si>
  <si>
    <t>ElseIf Dn = 44 Then x = 34</t>
  </si>
  <si>
    <t>ElseIf Dn = 46 Then x = 35</t>
  </si>
  <si>
    <t>ElseIf Dn = 48 Then x = 36</t>
  </si>
  <si>
    <t>' If the Dn-value is not within the given values,</t>
  </si>
  <si>
    <t>' The function returns Dext = "N/A"</t>
  </si>
  <si>
    <t xml:space="preserve">      PipeImp_CS_Dext_dn = "N/A"</t>
  </si>
  <si>
    <t xml:space="preserve">      Exit Function</t>
  </si>
  <si>
    <t>' In case the input value for Dn was identified and therefore an x-value  "x" has been defined,</t>
  </si>
  <si>
    <t>' the value of the matrix element (x,3) is assigned to de exterior diameter Dext</t>
  </si>
  <si>
    <t>PipeImp_CS_Dext_dn = C(x, 3)</t>
  </si>
  <si>
    <t>End Function</t>
  </si>
  <si>
    <t xml:space="preserve">                        'PipeImp_CS_Thickness_dn_sch</t>
  </si>
  <si>
    <t xml:space="preserve"> 'The function  PipeImp_CS_Thickness_dn_sch  gives the thickness of a pipe with</t>
  </si>
  <si>
    <t xml:space="preserve"> 'nominal diameter   dn [in] and schedule  sch</t>
  </si>
  <si>
    <t xml:space="preserve"> 'If the diameter is a fraction, the input cell ha to be formated as a fraction</t>
  </si>
  <si>
    <t xml:space="preserve">   Function PipeImp_CS_Thickness_dn_sch(Dn, SCH)</t>
  </si>
  <si>
    <t xml:space="preserve">  </t>
  </si>
  <si>
    <t xml:space="preserve">    Dim C(36, 17) As Variant</t>
  </si>
  <si>
    <t>' Thickness according ASME B36.10M, from Sheet 6.CS_Imp</t>
  </si>
  <si>
    <t xml:space="preserve">          For j = 1 To 17</t>
  </si>
  <si>
    <t xml:space="preserve">                C(m, j) = ThisWorkbook.Worksheets("6.CS_Imp").Cells(m, j).Value</t>
  </si>
  <si>
    <t xml:space="preserve">          Next j</t>
  </si>
  <si>
    <t xml:space="preserve">  If PipeImp_CS_Dext_dn(Dn) = "N/A" Then</t>
  </si>
  <si>
    <t xml:space="preserve">        PipeImp_CS_Thickness_dn_sch = "N/A"</t>
  </si>
  <si>
    <t xml:space="preserve">        Exit Function</t>
  </si>
  <si>
    <t xml:space="preserve">  End If</t>
  </si>
  <si>
    <t xml:space="preserve">    PipeImp_CS_Thickness_dn_sch(Dn, SCH) = "N/A"</t>
  </si>
  <si>
    <t xml:space="preserve">    Exit Function</t>
  </si>
  <si>
    <t xml:space="preserve">   </t>
  </si>
  <si>
    <t>If SCH = 5 Then</t>
  </si>
  <si>
    <t>Y = 4</t>
  </si>
  <si>
    <t>ElseIf SCH = 10 Then Y = 5</t>
  </si>
  <si>
    <t>ElseIf SCH = 20 Then Y = 6</t>
  </si>
  <si>
    <t>ElseIf SCH = 30 Then Y = 7</t>
  </si>
  <si>
    <t>ElseIf SCH = 40 Then Y = 8</t>
  </si>
  <si>
    <t>ElseIf SCH = 60 Then Y = 9</t>
  </si>
  <si>
    <t>ElseIf SCH = 80 Then Y = 10</t>
  </si>
  <si>
    <t>ElseIf SCH = 100 Then Y = 11</t>
  </si>
  <si>
    <t>ElseIf SCH = 120 Then Y = 12</t>
  </si>
  <si>
    <t>ElseIf SCH = 140 Then Y = 13</t>
  </si>
  <si>
    <t>ElseIf SCH = 160 Then Y = 14</t>
  </si>
  <si>
    <t>ElseIf SCH = "STD" Then Y = 15</t>
  </si>
  <si>
    <t>ElseIf SCH = "XS" Then Y = 16</t>
  </si>
  <si>
    <t>ElseIf SCH = "XXS" Then Y = 17</t>
  </si>
  <si>
    <t xml:space="preserve">   PipeImp_CS_Thickness_dn_sch = "N/A"</t>
  </si>
  <si>
    <t xml:space="preserve">   Exit Function</t>
  </si>
  <si>
    <t>PipeImp_CS_Thickness_dn_sch = C(x, Y)</t>
  </si>
  <si>
    <t xml:space="preserve">    If PipeImp_CS_Thickness_dn_sch = " - " Then</t>
  </si>
  <si>
    <t xml:space="preserve">    End If</t>
  </si>
  <si>
    <t xml:space="preserve">                        'PipeImp_CS_Dint_dn_sch</t>
  </si>
  <si>
    <t xml:space="preserve">                        </t>
  </si>
  <si>
    <t xml:space="preserve"> 'The function  PipeImp_CS_Dint_dn_sch  gives the interior diameter of a pipe with</t>
  </si>
  <si>
    <t>Function PipeImp_CS_Dint_dn_sch(Dn, SCH)</t>
  </si>
  <si>
    <t xml:space="preserve">    If PipeImp_CS_Thickness_dn_sch(Dn, SCH) = "N/A" Then</t>
  </si>
  <si>
    <t xml:space="preserve">        PipeImp_CS_Dint_dn_sch = "N/A"</t>
  </si>
  <si>
    <t xml:space="preserve">    If PipeImp_CS_Dext_dn(Dn) = "N/A" Then</t>
  </si>
  <si>
    <t xml:space="preserve">    PipeImp_CS_Dint_dn_sch = PipeImp_CS_Dext_dn(Dn) - PipeImp_CS_Thickness_dn_sch(Dn, SCH) * 2</t>
  </si>
  <si>
    <t>[1]</t>
  </si>
  <si>
    <t>[2]</t>
  </si>
  <si>
    <t>T =</t>
  </si>
  <si>
    <t>Pa</t>
  </si>
  <si>
    <t>g =</t>
  </si>
  <si>
    <t>m/s²</t>
  </si>
  <si>
    <t>Q / A</t>
  </si>
  <si>
    <t>Temperatura</t>
  </si>
  <si>
    <t>C =</t>
  </si>
  <si>
    <t>h =</t>
  </si>
  <si>
    <t>m³/h</t>
  </si>
  <si>
    <t>mca</t>
  </si>
  <si>
    <t>m³/s</t>
  </si>
  <si>
    <t>Cameron Hydraulic Data, Pag. 2-8</t>
  </si>
  <si>
    <t>l/s</t>
  </si>
  <si>
    <t>b =</t>
  </si>
  <si>
    <t>La=</t>
  </si>
  <si>
    <t>Lb =</t>
  </si>
  <si>
    <t>Re</t>
  </si>
  <si>
    <t>e =</t>
  </si>
  <si>
    <t>Area</t>
  </si>
  <si>
    <r>
      <t xml:space="preserve">v * d / </t>
    </r>
    <r>
      <rPr>
        <sz val="10"/>
        <color indexed="8"/>
        <rFont val="Symbol"/>
        <family val="1"/>
      </rPr>
      <t>n</t>
    </r>
  </si>
  <si>
    <r>
      <rPr>
        <sz val="10"/>
        <color indexed="8"/>
        <rFont val="Symbol"/>
        <family val="1"/>
      </rPr>
      <t>n</t>
    </r>
    <r>
      <rPr>
        <sz val="10"/>
        <color theme="1"/>
        <rFont val="Arial"/>
        <family val="2"/>
      </rPr>
      <t xml:space="preserve"> =</t>
    </r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</si>
  <si>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>P =</t>
    </r>
  </si>
  <si>
    <r>
      <t>d</t>
    </r>
    <r>
      <rPr>
        <vertAlign val="subscript"/>
        <sz val="10"/>
        <color indexed="8"/>
        <rFont val="Arial"/>
        <family val="2"/>
      </rPr>
      <t>OP</t>
    </r>
    <r>
      <rPr>
        <sz val="10"/>
        <color theme="1"/>
        <rFont val="Arial"/>
        <family val="2"/>
      </rPr>
      <t xml:space="preserve"> =</t>
    </r>
  </si>
  <si>
    <r>
      <t>d</t>
    </r>
    <r>
      <rPr>
        <vertAlign val="subscript"/>
        <sz val="10"/>
        <color indexed="8"/>
        <rFont val="Arial"/>
        <family val="2"/>
      </rPr>
      <t>pipe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</si>
  <si>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0"/>
        <color indexed="8"/>
        <rFont val="Arial"/>
        <family val="2"/>
      </rPr>
      <t>in</t>
    </r>
    <r>
      <rPr>
        <sz val="10"/>
        <color theme="1"/>
        <rFont val="Arial"/>
        <family val="2"/>
      </rPr>
      <t xml:space="preserve"> =</t>
    </r>
  </si>
  <si>
    <t>E =</t>
  </si>
  <si>
    <t>( 1 / (1 - b^4) )^0.5</t>
  </si>
  <si>
    <t>kg/m³</t>
  </si>
  <si>
    <r>
      <rPr>
        <sz val="10"/>
        <color indexed="8"/>
        <rFont val="Symbol"/>
        <family val="1"/>
      </rPr>
      <t>r</t>
    </r>
    <r>
      <rPr>
        <sz val="10"/>
        <color theme="1"/>
        <rFont val="Arial"/>
        <family val="2"/>
      </rPr>
      <t xml:space="preserve"> =</t>
    </r>
  </si>
  <si>
    <t>R =</t>
  </si>
  <si>
    <t>J/(kg*K)</t>
  </si>
  <si>
    <t>C = 0.5961 + 0.0261*c96^2 - 0.216 * c96^8 + 0.000521 * (c96*1e67Re)^0.7 + ( 0.0188 + 0.0063 *(19000*c96/Re)0.8 ) * ( 1e6/Re ) * c96^3.5 + ( 0.043 + 0.08*e^(-7*La) ) * ( 1-0.11 ) * (19000*c96)/Re)^0.8 * ( c96^4/(1-c96^4)  ) - 0.031 * ((2*Lc96/(1-c96)) - 0.8*(2*Lc96/(1-c96))^1.1)*c96^1.3</t>
  </si>
  <si>
    <t>http://www.flowmeterdirectory.com/flowmeter_orifice_calc.html</t>
  </si>
  <si>
    <t>FlowRental.com</t>
  </si>
  <si>
    <t>Orifice plate on-line calculator</t>
  </si>
  <si>
    <r>
      <t>P</t>
    </r>
    <r>
      <rPr>
        <vertAlign val="subscript"/>
        <sz val="10"/>
        <color indexed="8"/>
        <rFont val="Arial"/>
        <family val="2"/>
      </rPr>
      <t>out</t>
    </r>
    <r>
      <rPr>
        <sz val="10"/>
        <color theme="1"/>
        <rFont val="Arial"/>
        <family val="2"/>
      </rPr>
      <t xml:space="preserve"> =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</si>
  <si>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"/>
        <family val="2"/>
      </rPr>
      <t>in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</si>
  <si>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0"/>
        <color indexed="8"/>
        <rFont val="Arial"/>
        <family val="2"/>
      </rPr>
      <t xml:space="preserve">in </t>
    </r>
    <r>
      <rPr>
        <sz val="10"/>
        <color theme="1"/>
        <rFont val="Arial"/>
        <family val="2"/>
      </rPr>
      <t>=</t>
    </r>
  </si>
  <si>
    <r>
      <t>v</t>
    </r>
    <r>
      <rPr>
        <vertAlign val="subscript"/>
        <sz val="10"/>
        <color indexed="8"/>
        <rFont val="Arial"/>
        <family val="2"/>
      </rPr>
      <t>in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</si>
  <si>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8"/>
        <color indexed="8"/>
        <rFont val="Arial"/>
        <family val="2"/>
      </rPr>
      <t>in</t>
    </r>
    <r>
      <rPr>
        <sz val="10"/>
        <color theme="1"/>
        <rFont val="Arial"/>
        <family val="2"/>
      </rPr>
      <t xml:space="preserve"> / ( R * T)</t>
    </r>
  </si>
  <si>
    <r>
      <t>d</t>
    </r>
    <r>
      <rPr>
        <vertAlign val="subscript"/>
        <sz val="10"/>
        <color indexed="8"/>
        <rFont val="Arial"/>
        <family val="2"/>
      </rPr>
      <t>OP</t>
    </r>
    <r>
      <rPr>
        <sz val="10"/>
        <color theme="1"/>
        <rFont val="Arial"/>
        <family val="2"/>
      </rPr>
      <t xml:space="preserve"> / d</t>
    </r>
    <r>
      <rPr>
        <vertAlign val="subscript"/>
        <sz val="10"/>
        <color indexed="8"/>
        <rFont val="Arial"/>
        <family val="2"/>
      </rPr>
      <t>pipe</t>
    </r>
    <r>
      <rPr>
        <sz val="10"/>
        <color theme="1"/>
        <rFont val="Arial"/>
        <family val="2"/>
      </rPr>
      <t xml:space="preserve">  </t>
    </r>
  </si>
  <si>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=</t>
    </r>
  </si>
  <si>
    <r>
      <t xml:space="preserve">e = 1 - (0.41 + 0.35 * </t>
    </r>
    <r>
      <rPr>
        <sz val="8"/>
        <color indexed="8"/>
        <rFont val="Symbol"/>
        <family val="1"/>
      </rPr>
      <t>b</t>
    </r>
    <r>
      <rPr>
        <sz val="8"/>
        <color indexed="8"/>
        <rFont val="Arial Narrow"/>
        <family val="2"/>
      </rPr>
      <t>^4   ) * ( DP/ (k * Pin) )</t>
    </r>
  </si>
  <si>
    <t>0,01252* C * d^2 *( h)^0,5</t>
  </si>
  <si>
    <t>A: Area de la sección del orificio</t>
  </si>
  <si>
    <t>Ec. 1</t>
  </si>
  <si>
    <t>C = 0.5961 + 0.0261*b^2 - 0.216 * b^8 + 0.000521 * (b*1e67Re)^0.7 + ( 0.0188 + 0.0063 *(19000*b/Re)0.8 ) * ( 1e6/Re ) * b^3.5 + ( 0.043 + 0.08*e^(-7*La) ) * ( 1-0.11 ) * (19000*b)/Re)^0.8 * ( b^4/(1-b^4)  ) - 0.031 * ((2*Lb/(1-b)) - 0.8*(2*Lb/(1-b))^1.1)*b^1.3</t>
  </si>
  <si>
    <t xml:space="preserve">C: Coeficiente de decarga. </t>
  </si>
  <si>
    <t xml:space="preserve">e: Coeficiente de expansión.  </t>
  </si>
  <si>
    <t xml:space="preserve">C = f(b, Re, e, La, Lb)    </t>
  </si>
  <si>
    <t>e = 1 para fluidos incompresibles</t>
  </si>
  <si>
    <r>
      <t xml:space="preserve">e = 1 - (0.41 + 0.35 *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^4   ) * ( DP/ (k * Pin) )</t>
    </r>
  </si>
  <si>
    <t xml:space="preserve">E: Función de diámetros  </t>
  </si>
  <si>
    <r>
      <t>A = (</t>
    </r>
    <r>
      <rPr>
        <sz val="10"/>
        <color indexed="8"/>
        <rFont val="Symbol"/>
        <family val="1"/>
      </rPr>
      <t>p</t>
    </r>
    <r>
      <rPr>
        <sz val="10"/>
        <color theme="1"/>
        <rFont val="Arial"/>
        <family val="2"/>
      </rPr>
      <t>/4) * d^2</t>
    </r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</si>
  <si>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>P = P</t>
    </r>
    <r>
      <rPr>
        <vertAlign val="subscript"/>
        <sz val="10"/>
        <color indexed="8"/>
        <rFont val="Arial"/>
        <family val="2"/>
      </rPr>
      <t>in</t>
    </r>
    <r>
      <rPr>
        <sz val="10"/>
        <color theme="1"/>
        <rFont val="Arial"/>
        <family val="2"/>
      </rPr>
      <t xml:space="preserve"> - P</t>
    </r>
    <r>
      <rPr>
        <vertAlign val="subscript"/>
        <sz val="10"/>
        <color indexed="8"/>
        <rFont val="Arial"/>
        <family val="2"/>
      </rPr>
      <t>out</t>
    </r>
    <r>
      <rPr>
        <sz val="10"/>
        <color theme="1"/>
        <rFont val="Arial"/>
        <family val="2"/>
      </rPr>
      <t xml:space="preserve"> </t>
    </r>
  </si>
  <si>
    <t>k: Razón de calores específicos</t>
  </si>
  <si>
    <t>(No se requiere para fluidos incompresibles</t>
  </si>
  <si>
    <r>
      <t>d</t>
    </r>
    <r>
      <rPr>
        <vertAlign val="subscript"/>
        <sz val="10"/>
        <color indexed="8"/>
        <rFont val="Arial"/>
        <family val="2"/>
      </rPr>
      <t>OP</t>
    </r>
    <r>
      <rPr>
        <sz val="10"/>
        <color theme="1"/>
        <rFont val="Arial"/>
        <family val="2"/>
      </rPr>
      <t>: Diámetro del orificio</t>
    </r>
  </si>
  <si>
    <r>
      <t>d</t>
    </r>
    <r>
      <rPr>
        <vertAlign val="subscript"/>
        <sz val="10"/>
        <color indexed="8"/>
        <rFont val="Arial"/>
        <family val="2"/>
      </rPr>
      <t>pipe</t>
    </r>
    <r>
      <rPr>
        <sz val="10"/>
        <color theme="1"/>
        <rFont val="Arial"/>
        <family val="2"/>
      </rPr>
      <t xml:space="preserve">: Diámetro de la cañería </t>
    </r>
  </si>
  <si>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: Razón de diámetros</t>
    </r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</si>
  <si>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 xml:space="preserve">P : Diferencia de presión         </t>
    </r>
  </si>
  <si>
    <t>[Pa]</t>
  </si>
  <si>
    <r>
      <rPr>
        <sz val="10"/>
        <color indexed="8"/>
        <rFont val="Symbol"/>
        <family val="1"/>
      </rPr>
      <t>r</t>
    </r>
    <r>
      <rPr>
        <sz val="10"/>
        <color theme="1"/>
        <rFont val="Arial"/>
        <family val="2"/>
      </rPr>
      <t xml:space="preserve">: Densidad del fluido      </t>
    </r>
  </si>
  <si>
    <r>
      <t>[kg/m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]</t>
    </r>
  </si>
  <si>
    <t>[-]</t>
  </si>
  <si>
    <t>[mm]</t>
  </si>
  <si>
    <t>[m²]</t>
  </si>
  <si>
    <r>
      <t>[m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/s]</t>
    </r>
  </si>
  <si>
    <t xml:space="preserve">La y Lb: Constantes dpendientes </t>
  </si>
  <si>
    <t>del tipo de tapping</t>
  </si>
  <si>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= d</t>
    </r>
    <r>
      <rPr>
        <vertAlign val="subscript"/>
        <sz val="10"/>
        <color indexed="8"/>
        <rFont val="Arial"/>
        <family val="2"/>
      </rPr>
      <t>OP</t>
    </r>
    <r>
      <rPr>
        <sz val="10"/>
        <color theme="1"/>
        <rFont val="Arial"/>
        <family val="2"/>
      </rPr>
      <t>/d</t>
    </r>
    <r>
      <rPr>
        <vertAlign val="subscript"/>
        <sz val="10"/>
        <color indexed="8"/>
        <rFont val="Arial"/>
        <family val="2"/>
      </rPr>
      <t>pipe</t>
    </r>
    <r>
      <rPr>
        <sz val="10"/>
        <color theme="1"/>
        <rFont val="Arial"/>
        <family val="2"/>
      </rPr>
      <t xml:space="preserve">  </t>
    </r>
  </si>
  <si>
    <r>
      <t xml:space="preserve">E = ( 1 / (1 -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^4) )^0.5</t>
    </r>
  </si>
  <si>
    <t>f(t, p)</t>
  </si>
  <si>
    <t>presión de un flujo de agua.</t>
  </si>
  <si>
    <t xml:space="preserve">Q^2 / (0,000157*C^2*d^4 ) </t>
  </si>
  <si>
    <t>`[Ec. 2]</t>
  </si>
  <si>
    <r>
      <t>A * C * d^2 * h^0.5 * (1/(1-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^4))^0.5</t>
    </r>
  </si>
  <si>
    <r>
      <t>(Q / ( A * C * d^2 * (1/(1-</t>
    </r>
    <r>
      <rPr>
        <sz val="10"/>
        <rFont val="Symbol"/>
        <family val="1"/>
      </rPr>
      <t>b</t>
    </r>
    <r>
      <rPr>
        <sz val="10"/>
        <rFont val="Arial"/>
        <family val="2"/>
      </rPr>
      <t>^4))^0,5 ))^2</t>
    </r>
  </si>
  <si>
    <t>D =</t>
  </si>
  <si>
    <r>
      <t>b</t>
    </r>
    <r>
      <rPr>
        <sz val="10"/>
        <rFont val="Arial"/>
        <family val="2"/>
      </rPr>
      <t xml:space="preserve"> =</t>
    </r>
  </si>
  <si>
    <t>d/D</t>
  </si>
  <si>
    <t>( &gt; 0,3 )</t>
  </si>
  <si>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=</t>
    </r>
  </si>
  <si>
    <r>
      <rPr>
        <sz val="10"/>
        <color indexed="8"/>
        <rFont val="Symbol"/>
        <family val="1"/>
      </rPr>
      <t>m</t>
    </r>
    <r>
      <rPr>
        <sz val="10"/>
        <color theme="1"/>
        <rFont val="Arial"/>
        <family val="2"/>
      </rPr>
      <t xml:space="preserve"> =</t>
    </r>
  </si>
  <si>
    <r>
      <rPr>
        <sz val="10"/>
        <color indexed="8"/>
        <rFont val="Symbol"/>
        <family val="1"/>
      </rPr>
      <t>m</t>
    </r>
    <r>
      <rPr>
        <sz val="10"/>
        <color theme="1"/>
        <rFont val="Arial"/>
        <family val="2"/>
      </rPr>
      <t xml:space="preserve"> / </t>
    </r>
    <r>
      <rPr>
        <sz val="10"/>
        <color indexed="8"/>
        <rFont val="Symbol"/>
        <family val="1"/>
      </rPr>
      <t>r</t>
    </r>
  </si>
  <si>
    <t>[Ec. 1]</t>
  </si>
  <si>
    <t>AirAbsoluteViscosity_t</t>
  </si>
  <si>
    <t>SaturWater_DynViscosity_t</t>
  </si>
  <si>
    <r>
      <t>kg/m</t>
    </r>
    <r>
      <rPr>
        <vertAlign val="superscript"/>
        <sz val="10"/>
        <color indexed="8"/>
        <rFont val="Arial"/>
        <family val="2"/>
      </rPr>
      <t>3</t>
    </r>
  </si>
  <si>
    <t xml:space="preserve">[11] </t>
  </si>
  <si>
    <t>Adiabatic exponent</t>
  </si>
  <si>
    <t>Air constant</t>
  </si>
  <si>
    <t>Inlet presure</t>
  </si>
  <si>
    <t>Pressure difference</t>
  </si>
  <si>
    <t>Dischatge pressure</t>
  </si>
  <si>
    <t>Inside pipe diameter</t>
  </si>
  <si>
    <t>Calculation</t>
  </si>
  <si>
    <r>
      <t>Q</t>
    </r>
    <r>
      <rPr>
        <vertAlign val="subscript"/>
        <sz val="10"/>
        <color indexed="8"/>
        <rFont val="Arial"/>
        <family val="2"/>
      </rPr>
      <t>ass</t>
    </r>
    <r>
      <rPr>
        <sz val="10"/>
        <color theme="1"/>
        <rFont val="Arial"/>
        <family val="2"/>
      </rPr>
      <t xml:space="preserve"> =</t>
    </r>
  </si>
  <si>
    <t>Air properties</t>
  </si>
  <si>
    <t>Inlet density</t>
  </si>
  <si>
    <t>c</t>
  </si>
  <si>
    <t>Kinematic viscosity</t>
  </si>
  <si>
    <t>O/P inlet velocity</t>
  </si>
  <si>
    <t>Inlet Reynolds number</t>
  </si>
  <si>
    <t>Expansion coefficient "e"</t>
  </si>
  <si>
    <t>Discharge coefficient "C"</t>
  </si>
  <si>
    <t xml:space="preserve"> "E" value</t>
  </si>
  <si>
    <r>
      <t>Diameters ratio "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"</t>
    </r>
  </si>
  <si>
    <t>Q: Flowrate</t>
  </si>
  <si>
    <t>C: Dischatge coefficient</t>
  </si>
  <si>
    <t>e: Expansion coefficient</t>
  </si>
  <si>
    <t>E: "E" value</t>
  </si>
  <si>
    <t>A: O/P area</t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</si>
  <si>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>P : Pressure diferential</t>
    </r>
  </si>
  <si>
    <r>
      <rPr>
        <sz val="10"/>
        <color indexed="8"/>
        <rFont val="Symbol"/>
        <family val="1"/>
      </rPr>
      <t>r</t>
    </r>
    <r>
      <rPr>
        <sz val="10"/>
        <color theme="1"/>
        <rFont val="Arial"/>
        <family val="2"/>
      </rPr>
      <t>: Fluid density</t>
    </r>
  </si>
  <si>
    <t>k: adiabtic exponent</t>
  </si>
  <si>
    <t>(Not required for incompresible fkuids)</t>
  </si>
  <si>
    <r>
      <t>d</t>
    </r>
    <r>
      <rPr>
        <vertAlign val="subscript"/>
        <sz val="10"/>
        <color indexed="8"/>
        <rFont val="Arial"/>
        <family val="2"/>
      </rPr>
      <t>OP</t>
    </r>
    <r>
      <rPr>
        <sz val="10"/>
        <color theme="1"/>
        <rFont val="Arial"/>
        <family val="2"/>
      </rPr>
      <t>: O/P diameter</t>
    </r>
  </si>
  <si>
    <r>
      <t>d</t>
    </r>
    <r>
      <rPr>
        <vertAlign val="subscript"/>
        <sz val="10"/>
        <color indexed="8"/>
        <rFont val="Arial"/>
        <family val="2"/>
      </rPr>
      <t>pipe</t>
    </r>
    <r>
      <rPr>
        <sz val="10"/>
        <color theme="1"/>
        <rFont val="Arial"/>
        <family val="2"/>
      </rPr>
      <t>: Pipe diameter</t>
    </r>
  </si>
  <si>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: Diameter ratio</t>
    </r>
  </si>
  <si>
    <t>La y Lb: Constants depending on</t>
  </si>
  <si>
    <t>tapping type</t>
  </si>
  <si>
    <t>e = 1  for incmpressible fluids</t>
  </si>
  <si>
    <t>Fluio:</t>
  </si>
  <si>
    <t>Temperature</t>
  </si>
  <si>
    <t xml:space="preserve"> O/P inlet pressure</t>
  </si>
  <si>
    <t>P/O outlet pressure</t>
  </si>
  <si>
    <t>Water properties</t>
  </si>
  <si>
    <t>Absolute viscosity</t>
  </si>
  <si>
    <r>
      <t xml:space="preserve">e = 1 </t>
    </r>
    <r>
      <rPr>
        <sz val="9"/>
        <color indexed="8"/>
        <rFont val="Arial"/>
        <family val="2"/>
      </rPr>
      <t>for incompressible fluids</t>
    </r>
  </si>
  <si>
    <t>Note 1</t>
  </si>
  <si>
    <r>
      <t xml:space="preserve">applicable for water and  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&lt; 0.3</t>
    </r>
  </si>
  <si>
    <t xml:space="preserve"> -   (constant)</t>
  </si>
  <si>
    <t>(See Eq. 1)</t>
  </si>
  <si>
    <t>Equation adapted from Cameron [3], pag. 2-8</t>
  </si>
  <si>
    <r>
      <t xml:space="preserve">Orifice plate for water and diameters ratio </t>
    </r>
    <r>
      <rPr>
        <b/>
        <sz val="12"/>
        <color indexed="8"/>
        <rFont val="Symbol"/>
        <family val="1"/>
      </rPr>
      <t xml:space="preserve"> b</t>
    </r>
    <r>
      <rPr>
        <b/>
        <sz val="12"/>
        <color indexed="8"/>
        <rFont val="Arial"/>
        <family val="2"/>
      </rPr>
      <t xml:space="preserve"> &lt; 0.3</t>
    </r>
  </si>
  <si>
    <t xml:space="preserve">Pressure loss  in orifice plate, for </t>
  </si>
  <si>
    <r>
      <t xml:space="preserve">water and 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&lt; 0.3</t>
    </r>
  </si>
  <si>
    <t xml:space="preserve">From Eq. 1 </t>
  </si>
  <si>
    <r>
      <t>Q: volumetric flowrate [m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/h]</t>
    </r>
  </si>
  <si>
    <t>C: discharge coefficient [-]</t>
  </si>
  <si>
    <t>d: orifice plate diameter  [mm]</t>
  </si>
  <si>
    <t>h: orifice plate pressure difference [m]</t>
  </si>
  <si>
    <t>Application for water flowrate calculation</t>
  </si>
  <si>
    <t>Application for water pressure difference  calculation</t>
  </si>
  <si>
    <r>
      <t xml:space="preserve">for   </t>
    </r>
    <r>
      <rPr>
        <sz val="10"/>
        <rFont val="Symbol"/>
        <family val="1"/>
      </rPr>
      <t xml:space="preserve">  b </t>
    </r>
    <r>
      <rPr>
        <sz val="10"/>
        <color theme="1"/>
        <rFont val="Arial"/>
        <family val="2"/>
      </rPr>
      <t>= d/Di &lt; 0,3</t>
    </r>
  </si>
  <si>
    <r>
      <t xml:space="preserve">Orifice plate water flowrate for 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&lt; 0.3</t>
    </r>
  </si>
  <si>
    <r>
      <t xml:space="preserve">Orifice plate for water and diameters ratio </t>
    </r>
    <r>
      <rPr>
        <b/>
        <sz val="12"/>
        <color indexed="8"/>
        <rFont val="Symbol"/>
        <family val="1"/>
      </rPr>
      <t xml:space="preserve"> b</t>
    </r>
    <r>
      <rPr>
        <b/>
        <sz val="12"/>
        <color indexed="8"/>
        <rFont val="Arial"/>
        <family val="2"/>
      </rPr>
      <t xml:space="preserve"> &gt; 0.3</t>
    </r>
  </si>
  <si>
    <r>
      <t xml:space="preserve">Orifice plate water flowrate for 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&gt; 0.3</t>
    </r>
  </si>
  <si>
    <r>
      <t xml:space="preserve">water and 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&gt; 0.3</t>
    </r>
  </si>
  <si>
    <t>From Eq. 2</t>
  </si>
  <si>
    <r>
      <t xml:space="preserve">for   </t>
    </r>
    <r>
      <rPr>
        <sz val="10"/>
        <rFont val="Symbol"/>
        <family val="1"/>
      </rPr>
      <t xml:space="preserve">  b </t>
    </r>
    <r>
      <rPr>
        <sz val="10"/>
        <color theme="1"/>
        <rFont val="Arial"/>
        <family val="2"/>
      </rPr>
      <t>= d/Di &gt; 0,3</t>
    </r>
  </si>
  <si>
    <r>
      <t>Q</t>
    </r>
    <r>
      <rPr>
        <vertAlign val="subscript"/>
        <sz val="10"/>
        <color indexed="8"/>
        <rFont val="Arial"/>
        <family val="2"/>
      </rPr>
      <t>as</t>
    </r>
    <r>
      <rPr>
        <sz val="10"/>
        <color theme="1"/>
        <rFont val="Arial"/>
        <family val="2"/>
      </rPr>
      <t xml:space="preserve"> =</t>
    </r>
  </si>
  <si>
    <t>Fluid:</t>
  </si>
  <si>
    <r>
      <t xml:space="preserve">applicable for water and  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&gt; 0.3</t>
    </r>
  </si>
  <si>
    <t>SaturatedWaterDensity_t</t>
  </si>
  <si>
    <r>
      <t xml:space="preserve">Orifice plate (O/P), application for  "water" and 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&gt; 0.3       [1]</t>
    </r>
  </si>
  <si>
    <t>Orifice plate diameter</t>
  </si>
  <si>
    <t>Orifice plate, application using a On-line program "Flowmeter"</t>
  </si>
  <si>
    <t>Cameron</t>
  </si>
  <si>
    <t>Orifice plates dimensionig for water, according  Cameron [2]</t>
  </si>
  <si>
    <t>Orifice plates dimensionig for water, according  Cameron</t>
  </si>
  <si>
    <t>Orifice plates dimensioning</t>
  </si>
  <si>
    <t>O.P. Water, beta &lt; 0.3</t>
  </si>
  <si>
    <r>
      <t xml:space="preserve">Orifice plate, application for  "water" and 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&lt; 0.3  </t>
    </r>
  </si>
  <si>
    <r>
      <t xml:space="preserve">Orifice plate, application for  "water" and 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&gt; 0.3</t>
    </r>
  </si>
  <si>
    <t>Orifice plate, application using the On-line program "Flowmeter"</t>
  </si>
  <si>
    <t>Tap types  (Note 1)</t>
  </si>
  <si>
    <t>La and Lb are functions of tap type</t>
  </si>
  <si>
    <t>Corner taps: La and Lb = 0</t>
  </si>
  <si>
    <t>D &amp; D/2 taps. La and Lb = 0.47</t>
  </si>
  <si>
    <t>1" taps. La and Lb = 0.0254 /D</t>
  </si>
  <si>
    <t xml:space="preserve">Assumed flow required for the calculation, </t>
  </si>
  <si>
    <t xml:space="preserve">which can have any positive value. </t>
  </si>
  <si>
    <t xml:space="preserve">As an example, you can leave the existing </t>
  </si>
  <si>
    <t>value in the cell.</t>
  </si>
  <si>
    <t>Note 2</t>
  </si>
  <si>
    <t>Orifice plate section area</t>
  </si>
  <si>
    <r>
      <t xml:space="preserve">C * e * E * A * (2 * DP/ </t>
    </r>
    <r>
      <rPr>
        <sz val="8"/>
        <color indexed="8"/>
        <rFont val="Symbol"/>
        <family val="1"/>
      </rPr>
      <t>r</t>
    </r>
    <r>
      <rPr>
        <vertAlign val="subscript"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>)^0.5</t>
    </r>
  </si>
  <si>
    <r>
      <t>Q</t>
    </r>
    <r>
      <rPr>
        <vertAlign val="subscript"/>
        <sz val="10"/>
        <color indexed="8"/>
        <rFont val="Arial"/>
        <family val="2"/>
      </rPr>
      <t>calc</t>
    </r>
    <r>
      <rPr>
        <sz val="10"/>
        <color theme="1"/>
        <rFont val="Arial"/>
        <family val="2"/>
      </rPr>
      <t xml:space="preserve"> =</t>
    </r>
  </si>
  <si>
    <r>
      <t>Q</t>
    </r>
    <r>
      <rPr>
        <vertAlign val="subscript"/>
        <sz val="10"/>
        <color indexed="8"/>
        <rFont val="Arial"/>
        <family val="2"/>
      </rPr>
      <t xml:space="preserve">ass </t>
    </r>
    <r>
      <rPr>
        <sz val="10"/>
        <color theme="1"/>
        <rFont val="Arial"/>
        <family val="2"/>
      </rPr>
      <t xml:space="preserve">- Q </t>
    </r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</si>
  <si>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>Q =</t>
    </r>
  </si>
  <si>
    <t>Iteration routine</t>
  </si>
  <si>
    <t>Equation (1)</t>
  </si>
  <si>
    <t>Orifice plate flowrate</t>
  </si>
  <si>
    <t>Calculation result</t>
  </si>
  <si>
    <t>Orifice plate flow rate</t>
  </si>
  <si>
    <t>Page 3 of 3</t>
  </si>
  <si>
    <t>Page 2 of 3</t>
  </si>
  <si>
    <t>Page 1 of 3</t>
  </si>
  <si>
    <t>E: E- value</t>
  </si>
  <si>
    <t>(Not required for incompresible fluids)</t>
  </si>
  <si>
    <t>O/P outlet pressure</t>
  </si>
  <si>
    <t>E-value</t>
  </si>
  <si>
    <r>
      <t xml:space="preserve">valid for   </t>
    </r>
    <r>
      <rPr>
        <sz val="10"/>
        <color indexed="8"/>
        <rFont val="Symbol"/>
        <family val="1"/>
      </rPr>
      <t xml:space="preserve">  b </t>
    </r>
    <r>
      <rPr>
        <sz val="10"/>
        <color indexed="8"/>
        <rFont val="Arial"/>
        <family val="2"/>
      </rPr>
      <t>= d/Di &lt; 0,3</t>
    </r>
  </si>
  <si>
    <t>Eq. 1</t>
  </si>
  <si>
    <t>Orifice plate, application for air</t>
  </si>
  <si>
    <t xml:space="preserve">with D (m). For more information, see </t>
  </si>
  <si>
    <t>page 3.</t>
  </si>
  <si>
    <t>Q: Flow rate</t>
  </si>
  <si>
    <t>C: Discharge coefficient</t>
  </si>
  <si>
    <t>Coefficient of discharge ISO equation</t>
  </si>
  <si>
    <r>
      <t xml:space="preserve">Orifice plate,  application for Air   </t>
    </r>
    <r>
      <rPr>
        <sz val="10"/>
        <color theme="1"/>
        <rFont val="Arial"/>
        <family val="2"/>
      </rPr>
      <t xml:space="preserve">   [1] &amp; [3]</t>
    </r>
  </si>
  <si>
    <r>
      <t xml:space="preserve">Orifice plate (O/P), application for  "water" and 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&lt; 0.3       [1] &amp; [3]</t>
    </r>
  </si>
  <si>
    <r>
      <t xml:space="preserve">The requirement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&lt; 0.3, is only to compare the result with the Cameron equation for an O/P with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&lt; 0.3</t>
    </r>
  </si>
  <si>
    <r>
      <t xml:space="preserve">The requirement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&gt; 0.3, is only to compare the result with the Cameron equation for an O/P with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&gt; 0.3</t>
    </r>
  </si>
  <si>
    <t>O/P diameter</t>
  </si>
  <si>
    <r>
      <t xml:space="preserve">with   </t>
    </r>
    <r>
      <rPr>
        <sz val="10"/>
        <color indexed="8"/>
        <rFont val="Symbol"/>
        <family val="1"/>
      </rPr>
      <t xml:space="preserve">  b </t>
    </r>
    <r>
      <rPr>
        <sz val="10"/>
        <color indexed="8"/>
        <rFont val="Arial"/>
        <family val="2"/>
      </rPr>
      <t>= d/Di &gt;0,3</t>
    </r>
  </si>
  <si>
    <t>Checking with Cameron`s [2]equation</t>
  </si>
  <si>
    <t>(1)</t>
  </si>
  <si>
    <t>(2)</t>
  </si>
  <si>
    <t xml:space="preserve">Checking with Cameron`s[2]  equation </t>
  </si>
  <si>
    <t>O.P. Air</t>
  </si>
  <si>
    <t>O.P. Water, beta &gt; 0.3</t>
  </si>
  <si>
    <t>On-line O.P. calculation</t>
  </si>
  <si>
    <t>Rev. cjc. 11.07.2016</t>
  </si>
  <si>
    <r>
      <t>(</t>
    </r>
    <r>
      <rPr>
        <sz val="10"/>
        <color indexed="8"/>
        <rFont val="Symbol"/>
        <family val="1"/>
      </rPr>
      <t>p</t>
    </r>
    <r>
      <rPr>
        <sz val="10"/>
        <color theme="1"/>
        <rFont val="Arial"/>
        <family val="2"/>
      </rPr>
      <t>/4) * d</t>
    </r>
    <r>
      <rPr>
        <vertAlign val="subscript"/>
        <sz val="10"/>
        <color indexed="8"/>
        <rFont val="Arial"/>
        <family val="2"/>
      </rPr>
      <t>OP</t>
    </r>
    <r>
      <rPr>
        <sz val="10"/>
        <color theme="1"/>
        <rFont val="Arial"/>
        <family val="2"/>
      </rPr>
      <t>^2</t>
    </r>
  </si>
  <si>
    <r>
      <t xml:space="preserve">( 1 / (1 -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>^4) )^0.5</t>
    </r>
  </si>
  <si>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=</t>
    </r>
  </si>
  <si>
    <r>
      <t xml:space="preserve">C * e * E * A * (2 * </t>
    </r>
    <r>
      <rPr>
        <sz val="8"/>
        <color indexed="8"/>
        <rFont val="Symbol"/>
        <family val="1"/>
      </rPr>
      <t>D</t>
    </r>
    <r>
      <rPr>
        <sz val="8"/>
        <color indexed="8"/>
        <rFont val="Arial"/>
        <family val="2"/>
      </rPr>
      <t xml:space="preserve">P/ </t>
    </r>
    <r>
      <rPr>
        <sz val="8"/>
        <color indexed="8"/>
        <rFont val="Symbol"/>
        <family val="1"/>
      </rPr>
      <t>r</t>
    </r>
    <r>
      <rPr>
        <vertAlign val="subscript"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>)^0.5</t>
    </r>
  </si>
  <si>
    <t>Calculated result</t>
  </si>
  <si>
    <t>e = 1  for incompressible fluids</t>
  </si>
  <si>
    <t>Assumed flow rate (Note 2 )</t>
  </si>
  <si>
    <r>
      <t xml:space="preserve">The requirement for a value of  </t>
    </r>
    <r>
      <rPr>
        <sz val="10"/>
        <color indexed="8"/>
        <rFont val="Symbol"/>
        <family val="1"/>
      </rPr>
      <t>b</t>
    </r>
    <r>
      <rPr>
        <sz val="10"/>
        <color theme="1"/>
        <rFont val="Arial"/>
        <family val="2"/>
      </rPr>
      <t xml:space="preserve"> , is only to compare the result with the Cameron equations</t>
    </r>
  </si>
  <si>
    <t>Note</t>
  </si>
  <si>
    <t>See note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</si>
</sst>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E+00"/>
    <numFmt numFmtId="169" formatCode="0.000000"/>
    <numFmt numFmtId="170" formatCode="0.000E+00"/>
    <numFmt numFmtId="171" formatCode="_(* #,##0.00_);_(* \(#,##0.00\);_(* &quot;-&quot;??_);_(@_)"/>
    <numFmt numFmtId="172" formatCode="_(* #,##0_);_(* \(#,##0\);_(* &quot;-&quot;??_);_(@_)"/>
  </numFmts>
  <fonts count="9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6"/>
      <color indexed="12"/>
      <name val="Arial"/>
      <family val="2"/>
    </font>
    <font>
      <b/>
      <sz val="10"/>
      <name val="MS Sans Serif"/>
      <family val="2"/>
    </font>
    <font>
      <b/>
      <sz val="8"/>
      <color indexed="9"/>
      <name val="Arial Narrow"/>
      <family val="2"/>
    </font>
    <font>
      <b/>
      <vertAlign val="subscript"/>
      <sz val="8"/>
      <color indexed="9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Symbol"/>
      <family val="1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</font>
    <font>
      <b/>
      <sz val="10"/>
      <color indexed="8"/>
      <name val="Symbol"/>
      <family val="1"/>
    </font>
    <font>
      <b/>
      <sz val="12"/>
      <color indexed="8"/>
      <name val="Symbol"/>
      <family val="1"/>
    </font>
    <font>
      <sz val="10"/>
      <color indexed="25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sz val="10"/>
      <color indexed="9"/>
      <name val="Arial"/>
      <family val="2"/>
    </font>
    <font>
      <b/>
      <sz val="10"/>
      <color indexed="40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3"/>
      <name val="Arial"/>
      <family val="2"/>
    </font>
    <font>
      <sz val="10"/>
      <color rgb="FF7030A0"/>
      <name val="Arial"/>
      <family val="2"/>
    </font>
    <font>
      <sz val="8"/>
      <color rgb="FF00B0F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rgb="FF00B0F0"/>
      <name val="Arial"/>
      <family val="2"/>
    </font>
    <font>
      <b/>
      <sz val="10"/>
      <color theme="0"/>
      <name val="Arial"/>
      <family val="2"/>
    </font>
    <font>
      <b/>
      <sz val="12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thin"/>
      <top style="thin"/>
      <bottom style="thin"/>
    </border>
    <border>
      <left style="thin">
        <color rgb="FF0070C0"/>
      </left>
      <right/>
      <top/>
      <bottom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double">
        <color indexed="14"/>
      </left>
      <right style="thin"/>
      <top style="double">
        <color indexed="14"/>
      </top>
      <bottom style="thin"/>
    </border>
    <border>
      <left/>
      <right style="thin"/>
      <top style="double">
        <color indexed="14"/>
      </top>
      <bottom style="thin"/>
    </border>
    <border>
      <left style="thin"/>
      <right style="thin"/>
      <top style="double">
        <color indexed="14"/>
      </top>
      <bottom style="thin"/>
    </border>
    <border>
      <left style="thin"/>
      <right style="double">
        <color indexed="14"/>
      </right>
      <top style="double">
        <color indexed="14"/>
      </top>
      <bottom style="thin"/>
    </border>
    <border>
      <left style="thin"/>
      <right style="thin"/>
      <top style="double">
        <color indexed="12"/>
      </top>
      <bottom/>
    </border>
    <border>
      <left style="thin"/>
      <right style="double">
        <color indexed="12"/>
      </right>
      <top style="double">
        <color indexed="12"/>
      </top>
      <bottom/>
    </border>
    <border>
      <left style="double">
        <color indexed="14"/>
      </left>
      <right style="double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>
        <color indexed="14"/>
      </right>
      <top style="thin"/>
      <bottom/>
    </border>
    <border>
      <left style="double">
        <color indexed="12"/>
      </left>
      <right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thin"/>
      <right style="thin"/>
      <top/>
      <bottom/>
    </border>
    <border>
      <left style="thin"/>
      <right style="double">
        <color indexed="12"/>
      </right>
      <top/>
      <bottom/>
    </border>
    <border>
      <left style="double">
        <color indexed="14"/>
      </left>
      <right style="double">
        <color indexed="14"/>
      </right>
      <top style="thin"/>
      <bottom style="thin"/>
    </border>
    <border>
      <left style="double">
        <color indexed="14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>
        <color indexed="14"/>
      </right>
      <top style="thin"/>
      <bottom style="thin"/>
    </border>
    <border>
      <left style="thin"/>
      <right style="thin"/>
      <top/>
      <bottom style="double">
        <color indexed="12"/>
      </bottom>
    </border>
    <border>
      <left style="thin"/>
      <right style="double">
        <color indexed="12"/>
      </right>
      <top/>
      <bottom style="double">
        <color indexed="12"/>
      </bottom>
    </border>
    <border>
      <left style="double">
        <color indexed="14"/>
      </left>
      <right style="double">
        <color indexed="14"/>
      </right>
      <top style="thin"/>
      <bottom style="double">
        <color indexed="14"/>
      </bottom>
    </border>
    <border>
      <left style="double">
        <color indexed="14"/>
      </left>
      <right style="thin"/>
      <top style="thin"/>
      <bottom style="double">
        <color indexed="14"/>
      </bottom>
    </border>
    <border>
      <left style="thin"/>
      <right style="thin"/>
      <top style="thin"/>
      <bottom style="double">
        <color indexed="14"/>
      </bottom>
    </border>
    <border>
      <left style="thin"/>
      <right style="double">
        <color indexed="14"/>
      </right>
      <top style="thin"/>
      <bottom style="double">
        <color indexed="14"/>
      </bottom>
    </border>
    <border>
      <left/>
      <right style="thin">
        <color indexed="12"/>
      </right>
      <top style="thin">
        <color indexed="12"/>
      </top>
      <bottom/>
    </border>
    <border>
      <left style="thick">
        <color theme="3" tint="0.39991000294685364"/>
      </left>
      <right/>
      <top/>
      <bottom/>
    </border>
    <border>
      <left/>
      <right/>
      <top style="thick">
        <color theme="3" tint="0.39991000294685364"/>
      </top>
      <bottom/>
    </border>
    <border>
      <left style="thick">
        <color theme="3" tint="0.39991000294685364"/>
      </left>
      <right/>
      <top/>
      <bottom style="thick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1000294685364"/>
      </bottom>
    </border>
    <border>
      <left/>
      <right style="thick">
        <color theme="3" tint="0.39991000294685364"/>
      </right>
      <top style="thick">
        <color theme="3" tint="0.39991000294685364"/>
      </top>
      <bottom/>
    </border>
    <border>
      <left/>
      <right style="thick">
        <color theme="3" tint="0.39991000294685364"/>
      </right>
      <top/>
      <bottom/>
    </border>
    <border>
      <left/>
      <right style="thick">
        <color theme="3" tint="0.39991000294685364"/>
      </right>
      <top/>
      <bottom style="thick">
        <color theme="3" tint="0.39991000294685364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ck">
        <color theme="3" tint="0.39991000294685364"/>
      </left>
      <right/>
      <top style="thick">
        <color theme="3" tint="0.39991000294685364"/>
      </top>
      <bottom style="thick">
        <color theme="3" tint="0.39991000294685364"/>
      </bottom>
    </border>
    <border>
      <left/>
      <right/>
      <top style="thick">
        <color theme="3" tint="0.39991000294685364"/>
      </top>
      <bottom style="thick">
        <color theme="3" tint="0.39991000294685364"/>
      </bottom>
    </border>
    <border>
      <left/>
      <right style="thick">
        <color rgb="FF0070C0"/>
      </right>
      <top style="thick">
        <color theme="3" tint="0.39991000294685364"/>
      </top>
      <bottom style="thick">
        <color theme="3" tint="0.39991000294685364"/>
      </bottom>
    </border>
    <border>
      <left/>
      <right style="thick">
        <color theme="3" tint="0.39991000294685364"/>
      </right>
      <top style="thick">
        <color theme="3" tint="0.39991000294685364"/>
      </top>
      <bottom style="thick">
        <color theme="3" tint="0.39991000294685364"/>
      </bottom>
    </border>
    <border>
      <left style="thin"/>
      <right style="thin"/>
      <top style="thin">
        <color indexed="12"/>
      </top>
      <bottom style="thin"/>
    </border>
    <border>
      <left style="thin">
        <color indexed="12"/>
      </left>
      <right/>
      <top/>
      <bottom style="thin">
        <color indexed="12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theme="3" tint="0.39991000294685364"/>
      </left>
      <right/>
      <top style="thick">
        <color theme="3" tint="0.39991000294685364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/>
      <right/>
      <top/>
      <bottom style="thin">
        <color indexed="12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B0F0"/>
      </bottom>
    </border>
    <border>
      <left style="thin"/>
      <right style="thin"/>
      <top style="thin"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/>
      <top style="thick">
        <color rgb="FF00B0F0"/>
      </top>
      <bottom/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B0F0"/>
      </bottom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 style="medium">
        <color rgb="FF00B0F0"/>
      </right>
      <top/>
      <bottom style="medium">
        <color rgb="FF00B0F0"/>
      </bottom>
    </border>
    <border>
      <left style="double">
        <color indexed="12"/>
      </left>
      <right/>
      <top style="double">
        <color indexed="12"/>
      </top>
      <bottom style="double">
        <color indexed="12"/>
      </bottom>
    </border>
    <border>
      <left/>
      <right/>
      <top style="double">
        <color indexed="12"/>
      </top>
      <bottom style="double">
        <color indexed="12"/>
      </bottom>
    </border>
    <border>
      <left/>
      <right style="double">
        <color indexed="12"/>
      </right>
      <top style="double">
        <color indexed="12"/>
      </top>
      <bottom style="double">
        <color indexed="12"/>
      </bottom>
    </border>
    <border>
      <left/>
      <right/>
      <top/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3" xfId="0" applyFont="1" applyBorder="1" applyAlignment="1">
      <alignment horizontal="left"/>
    </xf>
    <xf numFmtId="165" fontId="0" fillId="34" borderId="26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34" borderId="34" xfId="0" applyNumberFormat="1" applyFill="1" applyBorder="1" applyAlignment="1">
      <alignment horizontal="center"/>
    </xf>
    <xf numFmtId="166" fontId="0" fillId="34" borderId="27" xfId="0" applyNumberFormat="1" applyFill="1" applyBorder="1" applyAlignment="1">
      <alignment horizontal="center"/>
    </xf>
    <xf numFmtId="165" fontId="0" fillId="34" borderId="23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35" xfId="0" applyNumberFormat="1" applyFill="1" applyBorder="1" applyAlignment="1">
      <alignment horizontal="center"/>
    </xf>
    <xf numFmtId="166" fontId="0" fillId="34" borderId="29" xfId="0" applyNumberForma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165" fontId="3" fillId="34" borderId="23" xfId="0" applyNumberFormat="1" applyFont="1" applyFill="1" applyBorder="1" applyAlignment="1">
      <alignment horizontal="center"/>
    </xf>
    <xf numFmtId="165" fontId="0" fillId="34" borderId="31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11" fontId="0" fillId="34" borderId="31" xfId="0" applyNumberFormat="1" applyFill="1" applyBorder="1" applyAlignment="1">
      <alignment horizontal="center"/>
    </xf>
    <xf numFmtId="11" fontId="0" fillId="34" borderId="36" xfId="0" applyNumberFormat="1" applyFill="1" applyBorder="1" applyAlignment="1">
      <alignment horizontal="center"/>
    </xf>
    <xf numFmtId="166" fontId="0" fillId="34" borderId="32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3" fillId="35" borderId="47" xfId="0" applyFont="1" applyFill="1" applyBorder="1" applyAlignment="1" applyProtection="1">
      <alignment horizontal="center"/>
      <protection/>
    </xf>
    <xf numFmtId="0" fontId="13" fillId="35" borderId="48" xfId="0" applyFont="1" applyFill="1" applyBorder="1" applyAlignment="1" applyProtection="1">
      <alignment horizontal="center"/>
      <protection/>
    </xf>
    <xf numFmtId="0" fontId="13" fillId="35" borderId="49" xfId="0" applyFont="1" applyFill="1" applyBorder="1" applyAlignment="1" applyProtection="1">
      <alignment horizontal="center"/>
      <protection/>
    </xf>
    <xf numFmtId="0" fontId="13" fillId="35" borderId="50" xfId="0" applyFont="1" applyFill="1" applyBorder="1" applyAlignment="1" applyProtection="1">
      <alignment horizontal="center"/>
      <protection/>
    </xf>
    <xf numFmtId="0" fontId="13" fillId="35" borderId="51" xfId="0" applyFont="1" applyFill="1" applyBorder="1" applyAlignment="1" applyProtection="1">
      <alignment horizontal="center"/>
      <protection/>
    </xf>
    <xf numFmtId="0" fontId="3" fillId="36" borderId="5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3" fontId="0" fillId="0" borderId="55" xfId="0" applyNumberFormat="1" applyBorder="1" applyAlignment="1" applyProtection="1">
      <alignment/>
      <protection/>
    </xf>
    <xf numFmtId="0" fontId="0" fillId="0" borderId="55" xfId="0" applyBorder="1" applyAlignment="1" applyProtection="1">
      <alignment horizontal="center"/>
      <protection/>
    </xf>
    <xf numFmtId="0" fontId="12" fillId="34" borderId="41" xfId="0" applyFont="1" applyFill="1" applyBorder="1" applyAlignment="1" applyProtection="1">
      <alignment horizontal="center"/>
      <protection/>
    </xf>
    <xf numFmtId="0" fontId="12" fillId="34" borderId="42" xfId="0" applyFont="1" applyFill="1" applyBorder="1" applyAlignment="1" applyProtection="1">
      <alignment horizontal="center"/>
      <protection/>
    </xf>
    <xf numFmtId="0" fontId="12" fillId="34" borderId="43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 quotePrefix="1">
      <alignment horizontal="center"/>
      <protection/>
    </xf>
    <xf numFmtId="0" fontId="12" fillId="34" borderId="44" xfId="0" applyFont="1" applyFill="1" applyBorder="1" applyAlignment="1" applyProtection="1">
      <alignment horizontal="center"/>
      <protection/>
    </xf>
    <xf numFmtId="0" fontId="3" fillId="37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13" fontId="0" fillId="0" borderId="58" xfId="0" applyNumberFormat="1" applyBorder="1" applyAlignment="1" applyProtection="1">
      <alignment/>
      <protection/>
    </xf>
    <xf numFmtId="0" fontId="0" fillId="0" borderId="58" xfId="0" applyBorder="1" applyAlignment="1" applyProtection="1">
      <alignment horizontal="center"/>
      <protection/>
    </xf>
    <xf numFmtId="0" fontId="12" fillId="34" borderId="59" xfId="0" applyFont="1" applyFill="1" applyBorder="1" applyAlignment="1" applyProtection="1">
      <alignment horizontal="center"/>
      <protection/>
    </xf>
    <xf numFmtId="0" fontId="12" fillId="34" borderId="6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2" fillId="34" borderId="23" xfId="0" applyFont="1" applyFill="1" applyBorder="1" applyAlignment="1" applyProtection="1">
      <alignment horizontal="center"/>
      <protection/>
    </xf>
    <xf numFmtId="0" fontId="12" fillId="34" borderId="61" xfId="0" applyFont="1" applyFill="1" applyBorder="1" applyAlignment="1" applyProtection="1">
      <alignment horizontal="center"/>
      <protection/>
    </xf>
    <xf numFmtId="3" fontId="0" fillId="0" borderId="58" xfId="0" applyNumberForma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3" fillId="37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23" xfId="0" applyFont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2" fillId="34" borderId="59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/>
    </xf>
    <xf numFmtId="3" fontId="0" fillId="0" borderId="64" xfId="0" applyNumberFormat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12" fillId="34" borderId="66" xfId="0" applyFont="1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68" xfId="0" applyBorder="1" applyAlignment="1">
      <alignment/>
    </xf>
    <xf numFmtId="0" fontId="69" fillId="0" borderId="0" xfId="53" applyAlignment="1">
      <alignment/>
    </xf>
    <xf numFmtId="0" fontId="0" fillId="0" borderId="0" xfId="0" applyFont="1" applyAlignment="1">
      <alignment/>
    </xf>
    <xf numFmtId="0" fontId="0" fillId="33" borderId="23" xfId="0" applyFill="1" applyBorder="1" applyAlignment="1">
      <alignment horizontal="center"/>
    </xf>
    <xf numFmtId="0" fontId="77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0" fillId="0" borderId="79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78" fillId="0" borderId="0" xfId="0" applyNumberFormat="1" applyFont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164" fontId="7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79" fillId="0" borderId="0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2" fontId="0" fillId="38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80" fillId="0" borderId="81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0" xfId="0" applyAlignment="1">
      <alignment/>
    </xf>
    <xf numFmtId="167" fontId="0" fillId="0" borderId="0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76" xfId="0" applyFill="1" applyBorder="1" applyAlignment="1">
      <alignment horizontal="center"/>
    </xf>
    <xf numFmtId="0" fontId="0" fillId="0" borderId="7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8" fillId="0" borderId="0" xfId="0" applyFont="1" applyBorder="1" applyAlignment="1">
      <alignment horizontal="right"/>
    </xf>
    <xf numFmtId="0" fontId="0" fillId="0" borderId="76" xfId="0" applyFill="1" applyBorder="1" applyAlignment="1">
      <alignment/>
    </xf>
    <xf numFmtId="0" fontId="0" fillId="33" borderId="85" xfId="0" applyFill="1" applyBorder="1" applyAlignment="1">
      <alignment horizontal="center"/>
    </xf>
    <xf numFmtId="0" fontId="78" fillId="0" borderId="78" xfId="0" applyFont="1" applyBorder="1" applyAlignment="1">
      <alignment/>
    </xf>
    <xf numFmtId="2" fontId="0" fillId="38" borderId="0" xfId="0" applyNumberFormat="1" applyFill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14" borderId="23" xfId="0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8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86" xfId="0" applyFill="1" applyBorder="1" applyAlignment="1">
      <alignment horizontal="center"/>
    </xf>
    <xf numFmtId="0" fontId="0" fillId="0" borderId="0" xfId="0" applyAlignment="1">
      <alignment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right"/>
    </xf>
    <xf numFmtId="168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68" fontId="7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8" fontId="0" fillId="38" borderId="87" xfId="0" applyNumberFormat="1" applyFill="1" applyBorder="1" applyAlignment="1">
      <alignment horizontal="center"/>
    </xf>
    <xf numFmtId="0" fontId="83" fillId="0" borderId="88" xfId="0" applyFont="1" applyBorder="1" applyAlignment="1">
      <alignment/>
    </xf>
    <xf numFmtId="0" fontId="84" fillId="0" borderId="0" xfId="0" applyFont="1" applyBorder="1" applyAlignment="1">
      <alignment/>
    </xf>
    <xf numFmtId="165" fontId="0" fillId="38" borderId="89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33" borderId="50" xfId="0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78" fillId="0" borderId="0" xfId="0" applyFont="1" applyBorder="1" applyAlignment="1">
      <alignment/>
    </xf>
    <xf numFmtId="168" fontId="0" fillId="12" borderId="0" xfId="0" applyNumberFormat="1" applyFill="1" applyBorder="1" applyAlignment="1">
      <alignment horizontal="center"/>
    </xf>
    <xf numFmtId="0" fontId="78" fillId="0" borderId="0" xfId="0" applyFont="1" applyAlignment="1">
      <alignment horizontal="right"/>
    </xf>
    <xf numFmtId="0" fontId="83" fillId="0" borderId="0" xfId="0" applyFont="1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33" borderId="99" xfId="0" applyFill="1" applyBorder="1" applyAlignment="1">
      <alignment horizontal="center"/>
    </xf>
    <xf numFmtId="3" fontId="3" fillId="33" borderId="99" xfId="0" applyNumberFormat="1" applyFont="1" applyFill="1" applyBorder="1" applyAlignment="1">
      <alignment horizontal="center"/>
    </xf>
    <xf numFmtId="1" fontId="0" fillId="33" borderId="99" xfId="0" applyNumberFormat="1" applyFont="1" applyFill="1" applyBorder="1" applyAlignment="1">
      <alignment horizontal="center"/>
    </xf>
    <xf numFmtId="166" fontId="85" fillId="0" borderId="98" xfId="0" applyNumberFormat="1" applyFont="1" applyBorder="1" applyAlignment="1">
      <alignment horizontal="center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center"/>
    </xf>
    <xf numFmtId="2" fontId="0" fillId="38" borderId="100" xfId="0" applyNumberFormat="1" applyFill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Fill="1" applyBorder="1" applyAlignment="1">
      <alignment horizontal="left"/>
    </xf>
    <xf numFmtId="168" fontId="0" fillId="38" borderId="101" xfId="0" applyNumberFormat="1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91" xfId="0" applyBorder="1" applyAlignment="1">
      <alignment/>
    </xf>
    <xf numFmtId="3" fontId="0" fillId="38" borderId="101" xfId="0" applyNumberFormat="1" applyFill="1" applyBorder="1" applyAlignment="1">
      <alignment horizontal="center"/>
    </xf>
    <xf numFmtId="165" fontId="0" fillId="38" borderId="102" xfId="0" applyNumberFormat="1" applyFill="1" applyBorder="1" applyAlignment="1">
      <alignment horizontal="center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80" fillId="0" borderId="90" xfId="0" applyFont="1" applyBorder="1" applyAlignment="1">
      <alignment/>
    </xf>
    <xf numFmtId="165" fontId="0" fillId="38" borderId="101" xfId="0" applyNumberFormat="1" applyFill="1" applyBorder="1" applyAlignment="1">
      <alignment horizontal="center"/>
    </xf>
    <xf numFmtId="0" fontId="0" fillId="0" borderId="97" xfId="0" applyFill="1" applyBorder="1" applyAlignment="1">
      <alignment/>
    </xf>
    <xf numFmtId="0" fontId="0" fillId="0" borderId="90" xfId="0" applyFill="1" applyBorder="1" applyAlignment="1">
      <alignment horizontal="left"/>
    </xf>
    <xf numFmtId="165" fontId="0" fillId="38" borderId="101" xfId="0" applyNumberFormat="1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78" fillId="0" borderId="92" xfId="0" applyFont="1" applyBorder="1" applyAlignment="1">
      <alignment/>
    </xf>
    <xf numFmtId="0" fontId="0" fillId="0" borderId="96" xfId="0" applyFill="1" applyBorder="1" applyAlignment="1">
      <alignment/>
    </xf>
    <xf numFmtId="2" fontId="0" fillId="18" borderId="0" xfId="0" applyNumberFormat="1" applyFill="1" applyBorder="1" applyAlignment="1">
      <alignment horizontal="center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2" fontId="0" fillId="38" borderId="99" xfId="0" applyNumberForma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80" fillId="0" borderId="114" xfId="0" applyFont="1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Fill="1" applyBorder="1" applyAlignment="1">
      <alignment horizontal="center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Fill="1" applyBorder="1" applyAlignment="1">
      <alignment/>
    </xf>
    <xf numFmtId="0" fontId="0" fillId="0" borderId="93" xfId="0" applyBorder="1" applyAlignment="1">
      <alignment horizontal="center"/>
    </xf>
    <xf numFmtId="0" fontId="0" fillId="0" borderId="103" xfId="0" applyFont="1" applyBorder="1" applyAlignment="1">
      <alignment/>
    </xf>
    <xf numFmtId="0" fontId="0" fillId="0" borderId="109" xfId="0" applyFont="1" applyBorder="1" applyAlignment="1">
      <alignment/>
    </xf>
    <xf numFmtId="0" fontId="78" fillId="0" borderId="114" xfId="0" applyFont="1" applyBorder="1" applyAlignment="1">
      <alignment/>
    </xf>
    <xf numFmtId="0" fontId="86" fillId="0" borderId="108" xfId="0" applyFont="1" applyBorder="1" applyAlignment="1">
      <alignment horizontal="right"/>
    </xf>
    <xf numFmtId="2" fontId="78" fillId="0" borderId="0" xfId="0" applyNumberFormat="1" applyFont="1" applyBorder="1" applyAlignment="1">
      <alignment horizontal="left"/>
    </xf>
    <xf numFmtId="2" fontId="87" fillId="0" borderId="0" xfId="0" applyNumberFormat="1" applyFont="1" applyBorder="1" applyAlignment="1">
      <alignment horizontal="left"/>
    </xf>
    <xf numFmtId="168" fontId="0" fillId="38" borderId="99" xfId="0" applyNumberFormat="1" applyFill="1" applyBorder="1" applyAlignment="1">
      <alignment horizontal="center"/>
    </xf>
    <xf numFmtId="164" fontId="0" fillId="38" borderId="99" xfId="0" applyNumberFormat="1" applyFill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166" fontId="0" fillId="0" borderId="94" xfId="0" applyNumberFormat="1" applyBorder="1" applyAlignment="1">
      <alignment horizontal="center"/>
    </xf>
    <xf numFmtId="3" fontId="0" fillId="38" borderId="99" xfId="0" applyNumberFormat="1" applyFill="1" applyBorder="1" applyAlignment="1">
      <alignment horizontal="center"/>
    </xf>
    <xf numFmtId="166" fontId="0" fillId="38" borderId="99" xfId="0" applyNumberFormat="1" applyFill="1" applyBorder="1" applyAlignment="1">
      <alignment horizontal="center"/>
    </xf>
    <xf numFmtId="0" fontId="77" fillId="0" borderId="91" xfId="0" applyFont="1" applyBorder="1" applyAlignment="1">
      <alignment/>
    </xf>
    <xf numFmtId="0" fontId="0" fillId="0" borderId="93" xfId="0" applyFill="1" applyBorder="1" applyAlignment="1">
      <alignment horizontal="center"/>
    </xf>
    <xf numFmtId="166" fontId="85" fillId="0" borderId="94" xfId="0" applyNumberFormat="1" applyFont="1" applyBorder="1" applyAlignment="1">
      <alignment horizontal="center"/>
    </xf>
    <xf numFmtId="169" fontId="0" fillId="0" borderId="94" xfId="0" applyNumberFormat="1" applyBorder="1" applyAlignment="1">
      <alignment horizontal="center"/>
    </xf>
    <xf numFmtId="0" fontId="0" fillId="33" borderId="121" xfId="0" applyFill="1" applyBorder="1" applyAlignment="1">
      <alignment horizontal="center"/>
    </xf>
    <xf numFmtId="165" fontId="0" fillId="0" borderId="94" xfId="0" applyNumberFormat="1" applyFon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165" fontId="0" fillId="38" borderId="99" xfId="0" applyNumberFormat="1" applyFont="1" applyFill="1" applyBorder="1" applyAlignment="1">
      <alignment horizontal="center"/>
    </xf>
    <xf numFmtId="165" fontId="0" fillId="38" borderId="121" xfId="0" applyNumberFormat="1" applyFill="1" applyBorder="1" applyAlignment="1">
      <alignment horizontal="center"/>
    </xf>
    <xf numFmtId="2" fontId="0" fillId="38" borderId="122" xfId="0" applyNumberFormat="1" applyFill="1" applyBorder="1" applyAlignment="1">
      <alignment horizontal="center"/>
    </xf>
    <xf numFmtId="0" fontId="78" fillId="0" borderId="77" xfId="0" applyFont="1" applyBorder="1" applyAlignment="1">
      <alignment/>
    </xf>
    <xf numFmtId="0" fontId="0" fillId="0" borderId="94" xfId="0" applyFill="1" applyBorder="1" applyAlignment="1">
      <alignment/>
    </xf>
    <xf numFmtId="0" fontId="80" fillId="0" borderId="0" xfId="0" applyFont="1" applyBorder="1" applyAlignment="1">
      <alignment/>
    </xf>
    <xf numFmtId="0" fontId="3" fillId="0" borderId="90" xfId="0" applyFont="1" applyFill="1" applyBorder="1" applyAlignment="1">
      <alignment horizontal="center"/>
    </xf>
    <xf numFmtId="0" fontId="88" fillId="0" borderId="96" xfId="0" applyFont="1" applyFill="1" applyBorder="1" applyAlignment="1">
      <alignment/>
    </xf>
    <xf numFmtId="0" fontId="0" fillId="0" borderId="9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6" fontId="3" fillId="33" borderId="99" xfId="0" applyNumberFormat="1" applyFont="1" applyFill="1" applyBorder="1" applyAlignment="1">
      <alignment horizontal="center"/>
    </xf>
    <xf numFmtId="165" fontId="0" fillId="0" borderId="99" xfId="0" applyNumberFormat="1" applyFill="1" applyBorder="1" applyAlignment="1">
      <alignment horizontal="center"/>
    </xf>
    <xf numFmtId="2" fontId="0" fillId="33" borderId="99" xfId="0" applyNumberFormat="1" applyFill="1" applyBorder="1" applyAlignment="1">
      <alignment horizontal="center"/>
    </xf>
    <xf numFmtId="0" fontId="86" fillId="0" borderId="0" xfId="0" applyFont="1" applyBorder="1" applyAlignment="1">
      <alignment horizontal="right"/>
    </xf>
    <xf numFmtId="3" fontId="0" fillId="33" borderId="99" xfId="0" applyNumberFormat="1" applyFill="1" applyBorder="1" applyAlignment="1">
      <alignment horizontal="center"/>
    </xf>
    <xf numFmtId="3" fontId="0" fillId="38" borderId="123" xfId="0" applyNumberFormat="1" applyFill="1" applyBorder="1" applyAlignment="1">
      <alignment horizontal="center"/>
    </xf>
    <xf numFmtId="0" fontId="0" fillId="0" borderId="90" xfId="0" applyFill="1" applyBorder="1" applyAlignment="1">
      <alignment/>
    </xf>
    <xf numFmtId="0" fontId="78" fillId="0" borderId="96" xfId="0" applyFont="1" applyBorder="1" applyAlignment="1">
      <alignment/>
    </xf>
    <xf numFmtId="11" fontId="0" fillId="0" borderId="94" xfId="0" applyNumberForma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0" fontId="89" fillId="0" borderId="0" xfId="0" applyFont="1" applyBorder="1" applyAlignment="1">
      <alignment/>
    </xf>
    <xf numFmtId="0" fontId="7" fillId="0" borderId="90" xfId="0" applyFont="1" applyBorder="1" applyAlignment="1">
      <alignment horizontal="center"/>
    </xf>
    <xf numFmtId="49" fontId="0" fillId="0" borderId="96" xfId="0" applyNumberFormat="1" applyBorder="1" applyAlignment="1">
      <alignment/>
    </xf>
    <xf numFmtId="49" fontId="0" fillId="0" borderId="96" xfId="0" applyNumberFormat="1" applyBorder="1" applyAlignment="1">
      <alignment horizontal="center"/>
    </xf>
    <xf numFmtId="0" fontId="0" fillId="14" borderId="99" xfId="0" applyFill="1" applyBorder="1" applyAlignment="1">
      <alignment horizontal="center"/>
    </xf>
    <xf numFmtId="0" fontId="0" fillId="34" borderId="99" xfId="0" applyFill="1" applyBorder="1" applyAlignment="1">
      <alignment horizontal="center"/>
    </xf>
    <xf numFmtId="2" fontId="0" fillId="34" borderId="99" xfId="0" applyNumberFormat="1" applyFill="1" applyBorder="1" applyAlignment="1">
      <alignment horizontal="center"/>
    </xf>
    <xf numFmtId="1" fontId="0" fillId="33" borderId="99" xfId="0" applyNumberFormat="1" applyFill="1" applyBorder="1" applyAlignment="1">
      <alignment horizontal="center"/>
    </xf>
    <xf numFmtId="0" fontId="0" fillId="0" borderId="99" xfId="0" applyBorder="1" applyAlignment="1">
      <alignment horizontal="center"/>
    </xf>
    <xf numFmtId="2" fontId="0" fillId="0" borderId="99" xfId="0" applyNumberFormat="1" applyBorder="1" applyAlignment="1">
      <alignment horizontal="center"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Fill="1" applyBorder="1" applyAlignment="1">
      <alignment horizontal="center"/>
    </xf>
    <xf numFmtId="2" fontId="0" fillId="38" borderId="128" xfId="0" applyNumberFormat="1" applyFill="1" applyBorder="1" applyAlignment="1">
      <alignment horizontal="center"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Fill="1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7" xfId="0" applyBorder="1" applyAlignment="1">
      <alignment horizontal="center"/>
    </xf>
    <xf numFmtId="0" fontId="81" fillId="0" borderId="132" xfId="0" applyFont="1" applyBorder="1" applyAlignment="1">
      <alignment horizontal="center"/>
    </xf>
    <xf numFmtId="0" fontId="81" fillId="0" borderId="133" xfId="0" applyFont="1" applyBorder="1" applyAlignment="1">
      <alignment horizontal="center"/>
    </xf>
    <xf numFmtId="0" fontId="81" fillId="0" borderId="134" xfId="0" applyFont="1" applyBorder="1" applyAlignment="1">
      <alignment horizontal="center"/>
    </xf>
    <xf numFmtId="2" fontId="90" fillId="39" borderId="0" xfId="0" applyNumberFormat="1" applyFont="1" applyFill="1" applyBorder="1" applyAlignment="1">
      <alignment horizontal="center"/>
    </xf>
    <xf numFmtId="167" fontId="0" fillId="38" borderId="94" xfId="0" applyNumberFormat="1" applyFill="1" applyBorder="1" applyAlignment="1">
      <alignment horizontal="center"/>
    </xf>
    <xf numFmtId="164" fontId="0" fillId="38" borderId="10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8" borderId="94" xfId="0" applyNumberFormat="1" applyFill="1" applyBorder="1" applyAlignment="1">
      <alignment horizontal="center"/>
    </xf>
    <xf numFmtId="164" fontId="0" fillId="0" borderId="135" xfId="0" applyNumberFormat="1" applyBorder="1" applyAlignment="1">
      <alignment horizontal="center"/>
    </xf>
    <xf numFmtId="164" fontId="90" fillId="39" borderId="0" xfId="0" applyNumberFormat="1" applyFont="1" applyFill="1" applyBorder="1" applyAlignment="1">
      <alignment horizontal="center"/>
    </xf>
    <xf numFmtId="0" fontId="9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61</xdr:row>
      <xdr:rowOff>0</xdr:rowOff>
    </xdr:from>
    <xdr:to>
      <xdr:col>20</xdr:col>
      <xdr:colOff>381000</xdr:colOff>
      <xdr:row>77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1458575"/>
          <a:ext cx="37909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61</xdr:row>
      <xdr:rowOff>85725</xdr:rowOff>
    </xdr:from>
    <xdr:to>
      <xdr:col>19</xdr:col>
      <xdr:colOff>762000</xdr:colOff>
      <xdr:row>77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391900"/>
          <a:ext cx="37814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64</xdr:row>
      <xdr:rowOff>114300</xdr:rowOff>
    </xdr:from>
    <xdr:to>
      <xdr:col>21</xdr:col>
      <xdr:colOff>47625</xdr:colOff>
      <xdr:row>80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163300"/>
          <a:ext cx="45624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</xdr:row>
      <xdr:rowOff>19050</xdr:rowOff>
    </xdr:from>
    <xdr:to>
      <xdr:col>11</xdr:col>
      <xdr:colOff>685800</xdr:colOff>
      <xdr:row>29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66775"/>
          <a:ext cx="37242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73</xdr:row>
      <xdr:rowOff>9525</xdr:rowOff>
    </xdr:from>
    <xdr:to>
      <xdr:col>10</xdr:col>
      <xdr:colOff>161925</xdr:colOff>
      <xdr:row>124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2430125"/>
          <a:ext cx="6953250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41</xdr:row>
      <xdr:rowOff>85725</xdr:rowOff>
    </xdr:from>
    <xdr:to>
      <xdr:col>8</xdr:col>
      <xdr:colOff>104775</xdr:colOff>
      <xdr:row>71</xdr:row>
      <xdr:rowOff>76200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7324725"/>
          <a:ext cx="53149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138</xdr:row>
      <xdr:rowOff>123825</xdr:rowOff>
    </xdr:from>
    <xdr:to>
      <xdr:col>6</xdr:col>
      <xdr:colOff>523875</xdr:colOff>
      <xdr:row>169</xdr:row>
      <xdr:rowOff>123825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23107650"/>
          <a:ext cx="408622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0</xdr:rowOff>
    </xdr:from>
    <xdr:to>
      <xdr:col>6</xdr:col>
      <xdr:colOff>514350</xdr:colOff>
      <xdr:row>35</xdr:row>
      <xdr:rowOff>47625</xdr:rowOff>
    </xdr:to>
    <xdr:pic>
      <xdr:nvPicPr>
        <xdr:cNvPr id="5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847725"/>
          <a:ext cx="423862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73</xdr:row>
      <xdr:rowOff>133350</xdr:rowOff>
    </xdr:from>
    <xdr:to>
      <xdr:col>15</xdr:col>
      <xdr:colOff>352425</xdr:colOff>
      <xdr:row>115</xdr:row>
      <xdr:rowOff>95250</xdr:rowOff>
    </xdr:to>
    <xdr:pic>
      <xdr:nvPicPr>
        <xdr:cNvPr id="6" name="1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2553950"/>
          <a:ext cx="4000500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wmeterdirectory.com/flowmeter_orifice_calc.html" TargetMode="Externa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wmeterdirectory.com/flowmeter_orifice_cal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27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8" width="11.421875" style="0" customWidth="1"/>
    <col min="9" max="9" width="12.421875" style="0" bestFit="1" customWidth="1"/>
  </cols>
  <sheetData>
    <row r="1" spans="1:6" ht="12.75">
      <c r="A1" s="42">
        <v>-73.15</v>
      </c>
      <c r="B1" s="43">
        <v>0.0181</v>
      </c>
      <c r="C1" s="43">
        <v>1.007</v>
      </c>
      <c r="D1" s="43">
        <v>0.737</v>
      </c>
      <c r="E1" s="43">
        <v>1.7458</v>
      </c>
      <c r="F1" s="44">
        <v>1.325E-05</v>
      </c>
    </row>
    <row r="2" spans="1:6" ht="12.75">
      <c r="A2" s="45">
        <v>-23.15</v>
      </c>
      <c r="B2" s="46">
        <v>0.0223</v>
      </c>
      <c r="C2" s="46">
        <v>1.006</v>
      </c>
      <c r="D2" s="46">
        <v>0.72</v>
      </c>
      <c r="E2" s="46">
        <v>1.3947</v>
      </c>
      <c r="F2" s="47">
        <v>1.596E-05</v>
      </c>
    </row>
    <row r="3" spans="1:6" ht="12.75">
      <c r="A3" s="45">
        <v>26.85</v>
      </c>
      <c r="B3" s="46">
        <v>0.0263</v>
      </c>
      <c r="C3" s="46">
        <v>1.007</v>
      </c>
      <c r="D3" s="46">
        <v>0.707</v>
      </c>
      <c r="E3" s="46">
        <v>1.1614</v>
      </c>
      <c r="F3" s="47">
        <v>1.846E-05</v>
      </c>
    </row>
    <row r="4" spans="1:6" ht="12.75">
      <c r="A4" s="45">
        <v>76.85</v>
      </c>
      <c r="B4" s="46">
        <v>0.03</v>
      </c>
      <c r="C4" s="46">
        <v>1.009</v>
      </c>
      <c r="D4" s="46">
        <v>0.7</v>
      </c>
      <c r="E4" s="46">
        <v>0.995</v>
      </c>
      <c r="F4" s="47">
        <v>2.082E-05</v>
      </c>
    </row>
    <row r="5" spans="1:6" ht="12.75">
      <c r="A5" s="45">
        <v>126.85</v>
      </c>
      <c r="B5" s="46">
        <v>0.0338</v>
      </c>
      <c r="C5" s="46">
        <v>1.014</v>
      </c>
      <c r="D5" s="46">
        <v>0.69</v>
      </c>
      <c r="E5" s="46">
        <v>0.8711</v>
      </c>
      <c r="F5" s="47">
        <v>2.301E-05</v>
      </c>
    </row>
    <row r="6" spans="1:6" ht="12.75">
      <c r="A6" s="45">
        <v>176.85</v>
      </c>
      <c r="B6" s="46">
        <v>0.0373</v>
      </c>
      <c r="C6" s="46">
        <v>1.021</v>
      </c>
      <c r="D6" s="46">
        <v>0.686</v>
      </c>
      <c r="E6" s="46">
        <v>0.774</v>
      </c>
      <c r="F6" s="47">
        <v>2.507E-05</v>
      </c>
    </row>
    <row r="7" spans="1:6" ht="12.75">
      <c r="A7" s="45">
        <v>226.85</v>
      </c>
      <c r="B7" s="46">
        <v>0.0407</v>
      </c>
      <c r="C7" s="46">
        <v>1.03</v>
      </c>
      <c r="D7" s="46">
        <v>0.684</v>
      </c>
      <c r="E7" s="46">
        <v>0.6964</v>
      </c>
      <c r="F7" s="47">
        <v>2.701E-05</v>
      </c>
    </row>
    <row r="8" spans="1:6" ht="12.75">
      <c r="A8" s="45">
        <v>276.85</v>
      </c>
      <c r="B8" s="46">
        <v>0.0439</v>
      </c>
      <c r="C8" s="46">
        <v>1.04</v>
      </c>
      <c r="D8" s="46">
        <v>0.683</v>
      </c>
      <c r="E8" s="46">
        <v>0.6329</v>
      </c>
      <c r="F8" s="47">
        <v>2.884E-05</v>
      </c>
    </row>
    <row r="9" spans="1:6" ht="12.75">
      <c r="A9" s="45">
        <v>326.85</v>
      </c>
      <c r="B9" s="46">
        <v>0.0469</v>
      </c>
      <c r="C9" s="46">
        <v>1.051</v>
      </c>
      <c r="D9" s="46">
        <v>0.685</v>
      </c>
      <c r="E9" s="46">
        <v>0.5804</v>
      </c>
      <c r="F9" s="47">
        <v>3.058E-05</v>
      </c>
    </row>
    <row r="10" spans="1:6" ht="12.75">
      <c r="A10" s="45">
        <v>376.85</v>
      </c>
      <c r="B10" s="46">
        <v>0.0497</v>
      </c>
      <c r="C10" s="46">
        <v>1.063</v>
      </c>
      <c r="D10" s="46">
        <v>0.69</v>
      </c>
      <c r="E10" s="46">
        <v>0.5356</v>
      </c>
      <c r="F10" s="47">
        <v>3.225E-05</v>
      </c>
    </row>
    <row r="11" spans="1:6" ht="12.75">
      <c r="A11" s="45">
        <v>426.85</v>
      </c>
      <c r="B11" s="46">
        <v>0.0524</v>
      </c>
      <c r="C11" s="46">
        <v>1.075</v>
      </c>
      <c r="D11" s="46">
        <v>0.695</v>
      </c>
      <c r="E11" s="46">
        <v>0.4975</v>
      </c>
      <c r="F11" s="47">
        <v>3.388E-05</v>
      </c>
    </row>
    <row r="12" spans="1:6" ht="12.75">
      <c r="A12" s="45">
        <v>476.85</v>
      </c>
      <c r="B12" s="46">
        <v>0.0549</v>
      </c>
      <c r="C12" s="46">
        <v>1.087</v>
      </c>
      <c r="D12" s="46">
        <v>0.702</v>
      </c>
      <c r="E12" s="46">
        <v>0.4643</v>
      </c>
      <c r="F12" s="47">
        <v>3.546E-05</v>
      </c>
    </row>
    <row r="13" spans="1:6" ht="12.75">
      <c r="A13" s="45">
        <v>526.85</v>
      </c>
      <c r="B13" s="46">
        <v>0.0573</v>
      </c>
      <c r="C13" s="46">
        <v>1.099</v>
      </c>
      <c r="D13" s="46">
        <v>0.709</v>
      </c>
      <c r="E13" s="46">
        <v>0.4354</v>
      </c>
      <c r="F13" s="47">
        <v>3.698E-05</v>
      </c>
    </row>
    <row r="14" spans="1:6" ht="12.75">
      <c r="A14" s="45">
        <v>576.85</v>
      </c>
      <c r="B14" s="46">
        <v>0.0596</v>
      </c>
      <c r="C14" s="46">
        <v>1.11</v>
      </c>
      <c r="D14" s="46">
        <v>0.716</v>
      </c>
      <c r="E14" s="46">
        <v>0.4097</v>
      </c>
      <c r="F14" s="47">
        <v>3.843E-05</v>
      </c>
    </row>
    <row r="15" spans="1:6" ht="12.75">
      <c r="A15" s="45">
        <v>626.85</v>
      </c>
      <c r="B15" s="46">
        <v>0.062</v>
      </c>
      <c r="C15" s="46">
        <v>1.121</v>
      </c>
      <c r="D15" s="46">
        <v>0.72</v>
      </c>
      <c r="E15" s="46">
        <v>0.3868</v>
      </c>
      <c r="F15" s="47">
        <v>3.981E-05</v>
      </c>
    </row>
    <row r="16" spans="1:6" ht="12.75">
      <c r="A16" s="45">
        <v>676.85</v>
      </c>
      <c r="B16" s="46">
        <v>0.0643</v>
      </c>
      <c r="C16" s="46">
        <v>1.131</v>
      </c>
      <c r="D16" s="46">
        <v>0.723</v>
      </c>
      <c r="E16" s="46">
        <v>0.3666</v>
      </c>
      <c r="F16" s="47">
        <v>4.113E-05</v>
      </c>
    </row>
    <row r="17" spans="1:6" ht="13.5" thickBot="1">
      <c r="A17" s="48">
        <v>726.85</v>
      </c>
      <c r="B17" s="49">
        <v>0.0667</v>
      </c>
      <c r="C17" s="49">
        <v>1.141</v>
      </c>
      <c r="D17" s="49">
        <v>0.726</v>
      </c>
      <c r="E17" s="49">
        <v>0.3482</v>
      </c>
      <c r="F17" s="50">
        <v>4.244E-05</v>
      </c>
    </row>
    <row r="18" ht="13.5" thickBot="1"/>
    <row r="19" spans="1:7" ht="15">
      <c r="A19" s="51" t="s">
        <v>30</v>
      </c>
      <c r="B19" s="52" t="s">
        <v>31</v>
      </c>
      <c r="C19" s="52" t="s">
        <v>32</v>
      </c>
      <c r="D19" s="52" t="s">
        <v>33</v>
      </c>
      <c r="E19" s="53" t="s">
        <v>34</v>
      </c>
      <c r="F19" s="54" t="s">
        <v>5</v>
      </c>
      <c r="G19" s="35"/>
    </row>
    <row r="20" spans="1:7" ht="15">
      <c r="A20" s="55" t="s">
        <v>6</v>
      </c>
      <c r="B20" s="39" t="s">
        <v>9</v>
      </c>
      <c r="C20" s="39" t="s">
        <v>35</v>
      </c>
      <c r="D20" s="39" t="s">
        <v>16</v>
      </c>
      <c r="E20" s="39" t="s">
        <v>36</v>
      </c>
      <c r="F20" s="56" t="s">
        <v>37</v>
      </c>
      <c r="G20" s="7"/>
    </row>
    <row r="21" spans="1:6" ht="12.75">
      <c r="A21" s="28"/>
      <c r="B21" s="1"/>
      <c r="C21" s="1"/>
      <c r="D21" s="1"/>
      <c r="E21" s="1"/>
      <c r="F21" s="29"/>
    </row>
    <row r="22" spans="1:6" ht="13.5" thickBot="1">
      <c r="A22" s="57" t="s">
        <v>38</v>
      </c>
      <c r="B22" s="32"/>
      <c r="C22" s="32"/>
      <c r="D22" s="32"/>
      <c r="E22" s="32"/>
      <c r="F22" s="33"/>
    </row>
    <row r="25" ht="12.75">
      <c r="A25" t="s">
        <v>39</v>
      </c>
    </row>
    <row r="26" ht="12.75">
      <c r="A26" t="s">
        <v>40</v>
      </c>
    </row>
    <row r="27" spans="1:2" ht="12.75">
      <c r="A27" t="s">
        <v>41</v>
      </c>
      <c r="B27" s="2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3:K34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2" width="8.7109375" style="171" customWidth="1"/>
  </cols>
  <sheetData>
    <row r="3" spans="2:8" ht="12.75">
      <c r="B3" s="171" t="s">
        <v>165</v>
      </c>
      <c r="C3" t="s">
        <v>200</v>
      </c>
      <c r="H3" s="171"/>
    </row>
    <row r="4" spans="3:8" ht="12.75">
      <c r="C4" t="s">
        <v>201</v>
      </c>
      <c r="H4" s="171"/>
    </row>
    <row r="5" ht="12.75">
      <c r="C5" t="s">
        <v>199</v>
      </c>
    </row>
    <row r="6" spans="2:3" s="202" customFormat="1" ht="12.75">
      <c r="B6" s="201"/>
      <c r="C6" s="142" t="s">
        <v>199</v>
      </c>
    </row>
    <row r="8" spans="2:3" ht="12.75">
      <c r="B8" s="171" t="s">
        <v>166</v>
      </c>
      <c r="C8" t="s">
        <v>178</v>
      </c>
    </row>
    <row r="10" ht="12.75"/>
    <row r="11" ht="12.75"/>
    <row r="12" spans="2:11" ht="12.75">
      <c r="B12" s="210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2:11" ht="12.75">
      <c r="B13" s="210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2:11" ht="12.75">
      <c r="B14" s="210"/>
      <c r="C14" s="211"/>
      <c r="D14" s="211"/>
      <c r="E14" s="211"/>
      <c r="F14" s="211"/>
      <c r="G14" s="211"/>
      <c r="H14" s="211"/>
      <c r="I14" s="211"/>
      <c r="J14" s="211"/>
      <c r="K14" s="211"/>
    </row>
    <row r="15" spans="2:11" ht="12.75">
      <c r="B15" s="210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2:11" ht="12.75">
      <c r="B16" s="210"/>
      <c r="C16" s="211"/>
      <c r="D16" s="211"/>
      <c r="E16" s="211"/>
      <c r="F16" s="211"/>
      <c r="G16" s="211"/>
      <c r="H16" s="211"/>
      <c r="I16" s="211"/>
      <c r="J16" s="211"/>
      <c r="K16" s="211"/>
    </row>
    <row r="17" spans="2:11" ht="12.75">
      <c r="B17" s="210"/>
      <c r="C17" s="211"/>
      <c r="D17" s="211"/>
      <c r="E17" s="211"/>
      <c r="F17" s="211"/>
      <c r="G17" s="211"/>
      <c r="H17" s="211"/>
      <c r="I17" s="211"/>
      <c r="J17" s="211"/>
      <c r="K17" s="211"/>
    </row>
    <row r="18" spans="2:11" ht="12.75">
      <c r="B18" s="210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2:11" ht="12.75">
      <c r="B19" s="210"/>
      <c r="C19" s="211"/>
      <c r="D19" s="211"/>
      <c r="E19" s="211"/>
      <c r="F19" s="211"/>
      <c r="G19" s="211"/>
      <c r="H19" s="211"/>
      <c r="I19" s="211"/>
      <c r="J19" s="211"/>
      <c r="K19" s="211"/>
    </row>
    <row r="20" spans="2:11" ht="12.75">
      <c r="B20" s="210"/>
      <c r="C20" s="211"/>
      <c r="D20" s="211"/>
      <c r="E20" s="211"/>
      <c r="F20" s="211"/>
      <c r="G20" s="211"/>
      <c r="H20" s="211"/>
      <c r="I20" s="211"/>
      <c r="J20" s="211"/>
      <c r="K20" s="211"/>
    </row>
    <row r="21" spans="2:11" ht="12.75">
      <c r="B21" s="210"/>
      <c r="C21" s="211"/>
      <c r="D21" s="211"/>
      <c r="E21" s="211"/>
      <c r="F21" s="211"/>
      <c r="G21" s="211"/>
      <c r="H21" s="211"/>
      <c r="I21" s="211"/>
      <c r="J21" s="211"/>
      <c r="K21" s="211"/>
    </row>
    <row r="22" spans="2:11" ht="12.75">
      <c r="B22" s="210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2:11" ht="12.75">
      <c r="B23" s="210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2:11" ht="12.75">
      <c r="B24" s="210"/>
      <c r="C24" s="211"/>
      <c r="D24" s="211"/>
      <c r="E24" s="211"/>
      <c r="F24" s="211"/>
      <c r="G24" s="211"/>
      <c r="H24" s="211"/>
      <c r="I24" s="211"/>
      <c r="J24" s="211"/>
      <c r="K24" s="211"/>
    </row>
    <row r="25" spans="2:11" ht="12.75">
      <c r="B25" s="210"/>
      <c r="C25" s="211"/>
      <c r="D25" s="211"/>
      <c r="E25" s="211"/>
      <c r="F25" s="211"/>
      <c r="G25" s="211"/>
      <c r="H25" s="211"/>
      <c r="I25" s="211"/>
      <c r="J25" s="211"/>
      <c r="K25" s="211"/>
    </row>
    <row r="26" spans="2:11" s="178" customFormat="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2:11" ht="12.75">
      <c r="B27" s="210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s="178" customFormat="1" ht="12.75">
      <c r="B28" s="210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ht="12.75">
      <c r="B29" s="210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t="12.75">
      <c r="B30" s="210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ht="12.75">
      <c r="B31" s="210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2:11" ht="12.75">
      <c r="B32" s="210"/>
      <c r="C32" s="211"/>
      <c r="D32" s="211"/>
      <c r="E32" s="211"/>
      <c r="F32" s="211"/>
      <c r="G32" s="211"/>
      <c r="H32" s="211"/>
      <c r="I32" s="211"/>
      <c r="J32" s="211"/>
      <c r="K32" s="211"/>
    </row>
    <row r="34" ht="12.75">
      <c r="C34" s="27"/>
    </row>
  </sheetData>
  <sheetProtection/>
  <hyperlinks>
    <hyperlink ref="C6" r:id="rId1" display="http://www.flowmeterdirectory.com/flowmeter_orifice_calc.html"/>
  </hyperlinks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dvAspect="DVASPECT_ICON" shapeId="8765664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34"/>
  <sheetViews>
    <sheetView zoomScalePageLayoutView="0" workbookViewId="0" topLeftCell="A1">
      <selection activeCell="E34" sqref="E34"/>
    </sheetView>
  </sheetViews>
  <sheetFormatPr defaultColWidth="11.421875" defaultRowHeight="12.75"/>
  <sheetData>
    <row r="1" spans="1:10" ht="12.75">
      <c r="A1" s="42">
        <v>0</v>
      </c>
      <c r="B1" s="58">
        <v>0.569</v>
      </c>
      <c r="C1" s="43">
        <v>4.217</v>
      </c>
      <c r="D1" s="43">
        <v>12.99</v>
      </c>
      <c r="E1" s="59">
        <v>1000</v>
      </c>
      <c r="F1" s="60">
        <v>0.00175</v>
      </c>
      <c r="G1" s="60">
        <v>1.75E-06</v>
      </c>
      <c r="H1" s="61">
        <v>1.349300450557268E-07</v>
      </c>
      <c r="I1" s="62">
        <v>0.006108006263784397</v>
      </c>
      <c r="J1" s="27"/>
    </row>
    <row r="2" spans="1:10" ht="12.75">
      <c r="A2" s="45">
        <v>1.8500000000000227</v>
      </c>
      <c r="B2" s="63">
        <v>0.574</v>
      </c>
      <c r="C2" s="46">
        <v>4.211</v>
      </c>
      <c r="D2" s="46">
        <v>12.22</v>
      </c>
      <c r="E2" s="64">
        <v>1000</v>
      </c>
      <c r="F2" s="65">
        <v>0.001652</v>
      </c>
      <c r="G2" s="65">
        <v>1.652E-06</v>
      </c>
      <c r="H2" s="66">
        <v>1.363096651626692E-07</v>
      </c>
      <c r="I2" s="67">
        <v>0.006979329861419813</v>
      </c>
      <c r="J2" s="27"/>
    </row>
    <row r="3" spans="1:10" ht="12.75">
      <c r="A3" s="45">
        <v>6.850000000000023</v>
      </c>
      <c r="B3" s="63">
        <v>0.582</v>
      </c>
      <c r="C3" s="46">
        <v>4.198</v>
      </c>
      <c r="D3" s="46">
        <v>10.26</v>
      </c>
      <c r="E3" s="64">
        <v>1000</v>
      </c>
      <c r="F3" s="65">
        <v>0.001422</v>
      </c>
      <c r="G3" s="65">
        <v>1.4220000000000001E-06</v>
      </c>
      <c r="H3" s="66">
        <v>1.3863744640304906E-07</v>
      </c>
      <c r="I3" s="67">
        <v>0.009909238229255038</v>
      </c>
      <c r="J3" s="27"/>
    </row>
    <row r="4" spans="1:10" ht="12.75">
      <c r="A4" s="45">
        <v>11.85</v>
      </c>
      <c r="B4" s="63">
        <v>0.59</v>
      </c>
      <c r="C4" s="46">
        <v>4.189</v>
      </c>
      <c r="D4" s="46">
        <v>8.81</v>
      </c>
      <c r="E4" s="64">
        <v>1000</v>
      </c>
      <c r="F4" s="65">
        <v>0.001225</v>
      </c>
      <c r="G4" s="65">
        <v>1.225E-06</v>
      </c>
      <c r="H4" s="66">
        <v>1.4084507042253522E-07</v>
      </c>
      <c r="I4" s="67">
        <v>0.013876000341309827</v>
      </c>
      <c r="J4" s="27"/>
    </row>
    <row r="5" spans="1:10" ht="12.75">
      <c r="A5" s="45">
        <v>16.85</v>
      </c>
      <c r="B5" s="63">
        <v>0.598</v>
      </c>
      <c r="C5" s="46">
        <v>4.184</v>
      </c>
      <c r="D5" s="46">
        <v>7.56</v>
      </c>
      <c r="E5" s="64">
        <v>999.0009990009991</v>
      </c>
      <c r="F5" s="65">
        <v>0.00108</v>
      </c>
      <c r="G5" s="65">
        <v>1.08108E-06</v>
      </c>
      <c r="H5" s="66">
        <v>1.4306835564053535E-07</v>
      </c>
      <c r="I5" s="67">
        <v>0.019178331441811986</v>
      </c>
      <c r="J5" s="27"/>
    </row>
    <row r="6" spans="1:10" ht="12.75">
      <c r="A6" s="45">
        <v>21.85</v>
      </c>
      <c r="B6" s="63">
        <v>0.606</v>
      </c>
      <c r="C6" s="46">
        <v>4.181</v>
      </c>
      <c r="D6" s="46">
        <v>6.62</v>
      </c>
      <c r="E6" s="64">
        <v>998.003992015968</v>
      </c>
      <c r="F6" s="65">
        <v>0.000959</v>
      </c>
      <c r="G6" s="65">
        <v>9.60918E-07</v>
      </c>
      <c r="H6" s="66">
        <v>1.4523128438172687E-07</v>
      </c>
      <c r="I6" s="67">
        <v>0.026180790527056207</v>
      </c>
      <c r="J6" s="27"/>
    </row>
    <row r="7" spans="1:10" ht="12.75">
      <c r="A7" s="45">
        <v>26.85</v>
      </c>
      <c r="B7" s="63">
        <v>0.613</v>
      </c>
      <c r="C7" s="46">
        <v>4.179</v>
      </c>
      <c r="D7" s="46">
        <v>5.83</v>
      </c>
      <c r="E7" s="64">
        <v>997.0089730807578</v>
      </c>
      <c r="F7" s="65">
        <v>0.000855</v>
      </c>
      <c r="G7" s="65">
        <v>8.575649999999999E-07</v>
      </c>
      <c r="H7" s="66">
        <v>1.4712586743240009E-07</v>
      </c>
      <c r="I7" s="67">
        <v>0.035323425576413346</v>
      </c>
      <c r="J7" s="27"/>
    </row>
    <row r="8" spans="1:10" ht="12.75">
      <c r="A8" s="45">
        <v>31.85</v>
      </c>
      <c r="B8" s="63">
        <v>0.62</v>
      </c>
      <c r="C8" s="46">
        <v>4.178</v>
      </c>
      <c r="D8" s="46">
        <v>5.2</v>
      </c>
      <c r="E8" s="64">
        <v>995.0248756218907</v>
      </c>
      <c r="F8" s="65">
        <v>0.000769</v>
      </c>
      <c r="G8" s="65">
        <v>7.728449999999999E-07</v>
      </c>
      <c r="H8" s="66">
        <v>1.4913834370512205E-07</v>
      </c>
      <c r="I8" s="67">
        <v>0.047131919240408104</v>
      </c>
      <c r="J8" s="27"/>
    </row>
    <row r="9" spans="1:10" ht="12.75">
      <c r="A9" s="45">
        <v>36.85</v>
      </c>
      <c r="B9" s="63">
        <v>0.628</v>
      </c>
      <c r="C9" s="46">
        <v>4.178</v>
      </c>
      <c r="D9" s="46">
        <v>4.62</v>
      </c>
      <c r="E9" s="64">
        <v>993.04865938431</v>
      </c>
      <c r="F9" s="65">
        <v>0.000695</v>
      </c>
      <c r="G9" s="65">
        <v>6.998649999999998E-07</v>
      </c>
      <c r="H9" s="66">
        <v>1.5136333173767352E-07</v>
      </c>
      <c r="I9" s="67">
        <v>0.06222812914932803</v>
      </c>
      <c r="J9" s="27"/>
    </row>
    <row r="10" spans="1:10" ht="12.75">
      <c r="A10" s="45">
        <v>41.85</v>
      </c>
      <c r="B10" s="63">
        <v>0.634</v>
      </c>
      <c r="C10" s="46">
        <v>4.179</v>
      </c>
      <c r="D10" s="46">
        <v>4.16</v>
      </c>
      <c r="E10" s="64">
        <v>991.0802775024778</v>
      </c>
      <c r="F10" s="65">
        <v>0.000631</v>
      </c>
      <c r="G10" s="65">
        <v>6.36679E-07</v>
      </c>
      <c r="H10" s="66">
        <v>1.5307633405120842E-07</v>
      </c>
      <c r="I10" s="67">
        <v>0.08134090579523134</v>
      </c>
      <c r="J10" s="27"/>
    </row>
    <row r="11" spans="1:10" ht="12.75">
      <c r="A11" s="45">
        <v>46.85</v>
      </c>
      <c r="B11" s="63">
        <v>0.64</v>
      </c>
      <c r="C11" s="46">
        <v>4.18</v>
      </c>
      <c r="D11" s="46">
        <v>3.77</v>
      </c>
      <c r="E11" s="64">
        <v>989.1196834817014</v>
      </c>
      <c r="F11" s="65">
        <v>0.000577</v>
      </c>
      <c r="G11" s="65">
        <v>5.77577E-07</v>
      </c>
      <c r="H11" s="66">
        <v>1.5326315789473686E-07</v>
      </c>
      <c r="I11" s="67">
        <v>0.10531706312330934</v>
      </c>
      <c r="J11" s="27"/>
    </row>
    <row r="12" spans="1:10" ht="12.75">
      <c r="A12" s="45">
        <v>51.85</v>
      </c>
      <c r="B12" s="63">
        <v>0.645</v>
      </c>
      <c r="C12" s="46">
        <v>4.182</v>
      </c>
      <c r="D12" s="46">
        <v>3.42</v>
      </c>
      <c r="E12" s="64">
        <v>987.166831194472</v>
      </c>
      <c r="F12" s="65">
        <v>0.000528</v>
      </c>
      <c r="G12" s="65">
        <v>5.348639999999999E-07</v>
      </c>
      <c r="H12" s="66">
        <v>1.5623744619799136E-07</v>
      </c>
      <c r="I12" s="67">
        <v>0.13513237273365142</v>
      </c>
      <c r="J12" s="27"/>
    </row>
    <row r="13" spans="1:10" ht="12.75">
      <c r="A13" s="45">
        <v>56.85</v>
      </c>
      <c r="B13" s="63">
        <v>0.651</v>
      </c>
      <c r="C13" s="46">
        <v>4.184</v>
      </c>
      <c r="D13" s="46">
        <v>3.15</v>
      </c>
      <c r="E13" s="64">
        <v>984.2519685039371</v>
      </c>
      <c r="F13" s="65">
        <v>0.000489</v>
      </c>
      <c r="G13" s="65">
        <v>4.96824E-07</v>
      </c>
      <c r="H13" s="66">
        <v>1.5783938814531548E-07</v>
      </c>
      <c r="I13" s="67">
        <v>0.17190245197227494</v>
      </c>
      <c r="J13" s="27"/>
    </row>
    <row r="14" spans="1:10" ht="12.75">
      <c r="A14" s="45">
        <v>61.85</v>
      </c>
      <c r="B14" s="63">
        <v>0.656</v>
      </c>
      <c r="C14" s="46">
        <v>4.186</v>
      </c>
      <c r="D14" s="46">
        <v>2.88</v>
      </c>
      <c r="E14" s="64">
        <v>982.3182711198428</v>
      </c>
      <c r="F14" s="65">
        <v>0.000453</v>
      </c>
      <c r="G14" s="65">
        <v>4.61154E-07</v>
      </c>
      <c r="H14" s="66">
        <v>1.5953368370759673E-07</v>
      </c>
      <c r="I14" s="67">
        <v>0.21689341906538584</v>
      </c>
      <c r="J14" s="27"/>
    </row>
    <row r="15" spans="1:10" ht="12.75">
      <c r="A15" s="45">
        <v>66.85</v>
      </c>
      <c r="B15" s="63">
        <v>0.66</v>
      </c>
      <c r="C15" s="46">
        <v>4.188</v>
      </c>
      <c r="D15" s="46">
        <v>2.66</v>
      </c>
      <c r="E15" s="64">
        <v>979.4319294809011</v>
      </c>
      <c r="F15" s="65">
        <v>0.00042</v>
      </c>
      <c r="G15" s="65">
        <v>4.2882E-07</v>
      </c>
      <c r="H15" s="66">
        <v>1.6090257879656164E-07</v>
      </c>
      <c r="I15" s="67">
        <v>0.2715321945798864</v>
      </c>
      <c r="J15" s="27"/>
    </row>
    <row r="16" spans="1:10" ht="12.75">
      <c r="A16" s="68">
        <v>71.85</v>
      </c>
      <c r="B16" s="69">
        <v>0.664</v>
      </c>
      <c r="C16" s="46">
        <v>4.191</v>
      </c>
      <c r="D16" s="46">
        <v>2.45</v>
      </c>
      <c r="E16" s="64">
        <v>976.5625</v>
      </c>
      <c r="F16" s="65">
        <v>0.000389</v>
      </c>
      <c r="G16" s="65">
        <v>3.98336E-07</v>
      </c>
      <c r="H16" s="66">
        <v>1.632145072774994E-07</v>
      </c>
      <c r="I16" s="67">
        <v>0.33741633752673394</v>
      </c>
      <c r="J16" s="27"/>
    </row>
    <row r="17" spans="1:10" ht="12.75">
      <c r="A17" s="45">
        <v>76.85</v>
      </c>
      <c r="B17" s="63">
        <v>0.668</v>
      </c>
      <c r="C17" s="46">
        <v>4.195</v>
      </c>
      <c r="D17" s="46">
        <v>2.29</v>
      </c>
      <c r="E17" s="64">
        <v>973.7098344693283</v>
      </c>
      <c r="F17" s="65">
        <v>0.000365</v>
      </c>
      <c r="G17" s="65">
        <v>3.748549999999999E-07</v>
      </c>
      <c r="H17" s="66">
        <v>1.6353659117997615E-07</v>
      </c>
      <c r="I17" s="67">
        <v>0.41632331593192085</v>
      </c>
      <c r="J17" s="27"/>
    </row>
    <row r="18" spans="1:10" ht="12.75">
      <c r="A18" s="45">
        <v>81.85</v>
      </c>
      <c r="B18" s="63">
        <v>0.671</v>
      </c>
      <c r="C18" s="46">
        <v>4.199</v>
      </c>
      <c r="D18" s="46">
        <v>2.14</v>
      </c>
      <c r="E18" s="64">
        <v>970.8737864077669</v>
      </c>
      <c r="F18" s="65">
        <v>0.000343</v>
      </c>
      <c r="G18" s="65">
        <v>3.5329E-07</v>
      </c>
      <c r="H18" s="66">
        <v>1.6459395094070018E-07</v>
      </c>
      <c r="I18" s="67">
        <v>0.5102191251968057</v>
      </c>
      <c r="J18" s="27"/>
    </row>
    <row r="19" spans="1:10" ht="12.75">
      <c r="A19" s="45">
        <v>86.85</v>
      </c>
      <c r="B19" s="63">
        <v>0.674</v>
      </c>
      <c r="C19" s="46">
        <v>4.203</v>
      </c>
      <c r="D19" s="46">
        <v>2.02</v>
      </c>
      <c r="E19" s="64">
        <v>967.1179883945841</v>
      </c>
      <c r="F19" s="65">
        <v>0.000324</v>
      </c>
      <c r="G19" s="65">
        <v>3.3501600000000004E-07</v>
      </c>
      <c r="H19" s="66">
        <v>1.6581394242207946E-07</v>
      </c>
      <c r="I19" s="67">
        <v>0.6212661825396458</v>
      </c>
      <c r="J19" s="27"/>
    </row>
    <row r="20" spans="1:10" ht="12.75">
      <c r="A20" s="45">
        <v>91.85</v>
      </c>
      <c r="B20" s="63">
        <v>0.677</v>
      </c>
      <c r="C20" s="46">
        <v>4.209</v>
      </c>
      <c r="D20" s="46">
        <v>1.91</v>
      </c>
      <c r="E20" s="64">
        <v>963.3911368015414</v>
      </c>
      <c r="F20" s="65">
        <v>0.000306</v>
      </c>
      <c r="G20" s="65">
        <v>3.17628E-07</v>
      </c>
      <c r="H20" s="66">
        <v>1.669579472558803E-07</v>
      </c>
      <c r="I20" s="67">
        <v>0.7518304417299169</v>
      </c>
      <c r="J20" s="27"/>
    </row>
    <row r="21" spans="1:10" ht="12.75">
      <c r="A21" s="45">
        <v>96.85</v>
      </c>
      <c r="B21" s="63">
        <v>0.679</v>
      </c>
      <c r="C21" s="46">
        <v>4.214</v>
      </c>
      <c r="D21" s="46">
        <v>1.8</v>
      </c>
      <c r="E21" s="64">
        <v>960.6147934678196</v>
      </c>
      <c r="F21" s="65">
        <v>0.000289</v>
      </c>
      <c r="G21" s="65">
        <v>3.008489999999999E-07</v>
      </c>
      <c r="H21" s="66">
        <v>1.6773588039867107E-07</v>
      </c>
      <c r="I21" s="67">
        <v>0.9044876886863782</v>
      </c>
      <c r="J21" s="27"/>
    </row>
    <row r="22" spans="1:10" ht="13.5" thickBot="1">
      <c r="A22" s="48">
        <v>100</v>
      </c>
      <c r="B22" s="70">
        <v>0.68</v>
      </c>
      <c r="C22" s="49">
        <v>4.217</v>
      </c>
      <c r="D22" s="49">
        <v>1.76</v>
      </c>
      <c r="E22" s="71">
        <v>957.8544061302682</v>
      </c>
      <c r="F22" s="72">
        <v>0.000279</v>
      </c>
      <c r="G22" s="72">
        <v>2.91276E-07</v>
      </c>
      <c r="H22" s="73">
        <v>1.6834716623191845E-07</v>
      </c>
      <c r="I22" s="74">
        <v>1.013252619713624</v>
      </c>
      <c r="J22" s="27"/>
    </row>
    <row r="23" spans="1:10" ht="13.5" thickBot="1">
      <c r="A23" s="75"/>
      <c r="B23" s="75"/>
      <c r="C23" s="75"/>
      <c r="D23" s="75"/>
      <c r="E23" s="76"/>
      <c r="F23" s="75"/>
      <c r="G23" s="75"/>
      <c r="H23" s="75"/>
      <c r="I23" s="75"/>
      <c r="J23" s="75"/>
    </row>
    <row r="24" spans="1:10" ht="15">
      <c r="A24" s="51" t="s">
        <v>30</v>
      </c>
      <c r="B24" s="52" t="s">
        <v>31</v>
      </c>
      <c r="C24" s="52" t="s">
        <v>32</v>
      </c>
      <c r="D24" s="52" t="s">
        <v>33</v>
      </c>
      <c r="E24" s="53" t="s">
        <v>34</v>
      </c>
      <c r="F24" s="53" t="s">
        <v>5</v>
      </c>
      <c r="G24" s="53" t="s">
        <v>23</v>
      </c>
      <c r="H24" s="77" t="s">
        <v>24</v>
      </c>
      <c r="I24" s="78" t="s">
        <v>43</v>
      </c>
      <c r="J24" s="27"/>
    </row>
    <row r="25" spans="1:10" ht="15">
      <c r="A25" s="79" t="s">
        <v>6</v>
      </c>
      <c r="B25" s="80" t="s">
        <v>9</v>
      </c>
      <c r="C25" s="80" t="s">
        <v>35</v>
      </c>
      <c r="D25" s="80" t="s">
        <v>16</v>
      </c>
      <c r="E25" s="80" t="s">
        <v>36</v>
      </c>
      <c r="F25" s="80" t="s">
        <v>37</v>
      </c>
      <c r="G25" s="80" t="s">
        <v>21</v>
      </c>
      <c r="H25" s="81" t="s">
        <v>21</v>
      </c>
      <c r="I25" s="82" t="s">
        <v>15</v>
      </c>
      <c r="J25" s="27"/>
    </row>
    <row r="26" spans="1:10" ht="12.75">
      <c r="A26" s="30"/>
      <c r="B26" s="7"/>
      <c r="C26" s="7"/>
      <c r="D26" s="7"/>
      <c r="E26" s="7"/>
      <c r="F26" s="7"/>
      <c r="G26" s="7"/>
      <c r="H26" s="7"/>
      <c r="I26" s="37"/>
      <c r="J26" s="27"/>
    </row>
    <row r="27" spans="1:10" ht="13.5" thickBot="1">
      <c r="A27" s="57" t="s">
        <v>44</v>
      </c>
      <c r="B27" s="31"/>
      <c r="C27" s="31"/>
      <c r="D27" s="31"/>
      <c r="E27" s="31"/>
      <c r="F27" s="31"/>
      <c r="G27" s="31"/>
      <c r="H27" s="31"/>
      <c r="I27" s="38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t="s">
        <v>45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83" t="s">
        <v>46</v>
      </c>
      <c r="B31" s="27"/>
      <c r="C31" s="208" t="s">
        <v>256</v>
      </c>
      <c r="D31" s="27"/>
      <c r="E31" s="27"/>
      <c r="F31" s="84"/>
      <c r="G31" s="27"/>
      <c r="H31" s="27"/>
      <c r="I31" s="27"/>
      <c r="J31" s="27"/>
    </row>
    <row r="32" spans="1:10" ht="12.75">
      <c r="A32" s="36"/>
      <c r="B32" s="27"/>
      <c r="C32" s="27"/>
      <c r="D32" s="27"/>
      <c r="E32" s="27"/>
      <c r="F32" s="84"/>
      <c r="G32" s="27"/>
      <c r="H32" s="27"/>
      <c r="I32" s="27"/>
      <c r="J32" s="27"/>
    </row>
    <row r="33" spans="1:10" ht="12.75">
      <c r="A33" s="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34"/>
      <c r="B34" s="27"/>
      <c r="C34" s="27"/>
      <c r="D34" s="27"/>
      <c r="E34" s="27"/>
      <c r="F34" s="27"/>
      <c r="G34" s="27"/>
      <c r="H34" s="27"/>
      <c r="I34" s="27"/>
      <c r="J34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Y2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57421875" style="0" customWidth="1"/>
    <col min="2" max="2" width="8.00390625" style="0" customWidth="1"/>
    <col min="3" max="17" width="6.57421875" style="0" customWidth="1"/>
    <col min="18" max="18" width="6.8515625" style="0" customWidth="1"/>
    <col min="19" max="24" width="9.8515625" style="0" customWidth="1"/>
    <col min="25" max="26" width="6.8515625" style="0" customWidth="1"/>
  </cols>
  <sheetData>
    <row r="1" spans="1:21" ht="12.75">
      <c r="A1" s="85">
        <v>1</v>
      </c>
      <c r="B1" s="85">
        <v>2</v>
      </c>
      <c r="C1" s="85">
        <v>3</v>
      </c>
      <c r="D1" s="85">
        <v>4</v>
      </c>
      <c r="E1" s="85">
        <v>5</v>
      </c>
      <c r="F1" s="85">
        <v>6</v>
      </c>
      <c r="G1" s="85">
        <v>7</v>
      </c>
      <c r="H1" s="85">
        <v>8</v>
      </c>
      <c r="I1" s="85">
        <v>9</v>
      </c>
      <c r="J1" s="85">
        <v>10</v>
      </c>
      <c r="K1" s="85">
        <v>11</v>
      </c>
      <c r="L1" s="85">
        <v>12</v>
      </c>
      <c r="M1" s="85">
        <v>13</v>
      </c>
      <c r="N1" s="85">
        <v>14</v>
      </c>
      <c r="O1" s="85">
        <v>15</v>
      </c>
      <c r="P1" s="85">
        <v>16</v>
      </c>
      <c r="Q1" s="85">
        <v>17</v>
      </c>
      <c r="R1" s="85" t="s">
        <v>0</v>
      </c>
      <c r="S1" s="85" t="s">
        <v>0</v>
      </c>
      <c r="T1" s="85" t="s">
        <v>0</v>
      </c>
      <c r="U1" s="86"/>
    </row>
    <row r="2" spans="1:21" ht="12.75">
      <c r="A2" s="85">
        <v>2</v>
      </c>
      <c r="B2" s="86"/>
      <c r="C2" s="86"/>
      <c r="D2" s="86"/>
      <c r="E2" s="86"/>
      <c r="F2" s="86"/>
      <c r="G2" s="86"/>
      <c r="H2" s="87"/>
      <c r="I2" s="87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0.25">
      <c r="A3" s="85">
        <v>3</v>
      </c>
      <c r="B3" s="88" t="s">
        <v>47</v>
      </c>
      <c r="C3" s="86"/>
      <c r="D3" s="86"/>
      <c r="E3" s="86"/>
      <c r="F3" s="86"/>
      <c r="G3" s="86"/>
      <c r="H3" s="87"/>
      <c r="I3" s="89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4" ht="13.5" thickBot="1">
      <c r="A4" s="85">
        <v>4</v>
      </c>
      <c r="B4" s="1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1"/>
      <c r="W4" s="1"/>
      <c r="X4" s="1"/>
    </row>
    <row r="5" spans="1:24" ht="13.5" thickTop="1">
      <c r="A5" s="85">
        <v>5</v>
      </c>
      <c r="B5" s="90"/>
      <c r="C5" s="91"/>
      <c r="D5" s="91"/>
      <c r="E5" s="92"/>
      <c r="F5" s="93"/>
      <c r="G5" s="92"/>
      <c r="H5" s="93" t="s">
        <v>48</v>
      </c>
      <c r="I5" s="92"/>
      <c r="J5" s="92"/>
      <c r="K5" s="92"/>
      <c r="L5" s="92"/>
      <c r="M5" s="92"/>
      <c r="N5" s="92"/>
      <c r="O5" s="92"/>
      <c r="P5" s="92"/>
      <c r="Q5" s="94"/>
      <c r="S5" s="95" t="s">
        <v>49</v>
      </c>
      <c r="T5" s="96"/>
      <c r="U5" s="4"/>
      <c r="V5" s="96" t="s">
        <v>50</v>
      </c>
      <c r="W5" s="97">
        <v>24</v>
      </c>
      <c r="X5" s="98" t="s">
        <v>3</v>
      </c>
    </row>
    <row r="6" spans="1:24" ht="14.25" thickBot="1">
      <c r="A6" s="85">
        <v>6</v>
      </c>
      <c r="B6" s="99" t="s">
        <v>51</v>
      </c>
      <c r="C6" s="100" t="s">
        <v>52</v>
      </c>
      <c r="D6" s="101">
        <v>5</v>
      </c>
      <c r="E6" s="101">
        <v>10</v>
      </c>
      <c r="F6" s="102">
        <v>20</v>
      </c>
      <c r="G6" s="102">
        <v>30</v>
      </c>
      <c r="H6" s="102">
        <v>40</v>
      </c>
      <c r="I6" s="102">
        <v>60</v>
      </c>
      <c r="J6" s="102">
        <v>80</v>
      </c>
      <c r="K6" s="102">
        <v>100</v>
      </c>
      <c r="L6" s="102">
        <v>120</v>
      </c>
      <c r="M6" s="102">
        <v>140</v>
      </c>
      <c r="N6" s="102">
        <v>160</v>
      </c>
      <c r="O6" s="102" t="s">
        <v>53</v>
      </c>
      <c r="P6" s="102" t="s">
        <v>54</v>
      </c>
      <c r="Q6" s="103" t="s">
        <v>55</v>
      </c>
      <c r="S6" s="104" t="s">
        <v>56</v>
      </c>
      <c r="T6" s="105"/>
      <c r="U6" s="2"/>
      <c r="V6" s="40" t="s">
        <v>57</v>
      </c>
      <c r="W6" s="106" t="s">
        <v>54</v>
      </c>
      <c r="X6" s="107"/>
    </row>
    <row r="7" spans="1:24" ht="15.75" thickTop="1">
      <c r="A7" s="85">
        <v>7</v>
      </c>
      <c r="B7" s="108">
        <v>0.5</v>
      </c>
      <c r="C7" s="109">
        <v>21.3</v>
      </c>
      <c r="D7" s="110">
        <v>1.65</v>
      </c>
      <c r="E7" s="111">
        <v>2.11</v>
      </c>
      <c r="F7" s="92" t="s">
        <v>16</v>
      </c>
      <c r="G7" s="112">
        <v>2.41</v>
      </c>
      <c r="H7" s="112">
        <v>2.77</v>
      </c>
      <c r="I7" s="92" t="s">
        <v>16</v>
      </c>
      <c r="J7" s="112">
        <v>3.73</v>
      </c>
      <c r="K7" s="92" t="s">
        <v>16</v>
      </c>
      <c r="L7" s="113">
        <v>0</v>
      </c>
      <c r="M7" s="92" t="s">
        <v>16</v>
      </c>
      <c r="N7" s="112">
        <v>4.78</v>
      </c>
      <c r="O7" s="112">
        <v>2.77</v>
      </c>
      <c r="P7" s="112">
        <v>3.73</v>
      </c>
      <c r="Q7" s="114">
        <v>7.47</v>
      </c>
      <c r="S7" s="13" t="s">
        <v>58</v>
      </c>
      <c r="T7" s="10" t="s">
        <v>59</v>
      </c>
      <c r="U7" s="1"/>
      <c r="V7" s="1"/>
      <c r="W7" s="115" t="e">
        <v>#NAME?</v>
      </c>
      <c r="X7" s="116" t="s">
        <v>3</v>
      </c>
    </row>
    <row r="8" spans="1:24" ht="15">
      <c r="A8" s="85">
        <v>8</v>
      </c>
      <c r="B8" s="117">
        <v>0.75</v>
      </c>
      <c r="C8" s="118">
        <v>26.7</v>
      </c>
      <c r="D8" s="119">
        <v>1.65</v>
      </c>
      <c r="E8" s="120">
        <v>2.11</v>
      </c>
      <c r="F8" s="121" t="s">
        <v>16</v>
      </c>
      <c r="G8" s="122">
        <v>2.41</v>
      </c>
      <c r="H8" s="122">
        <v>2.87</v>
      </c>
      <c r="I8" s="121" t="s">
        <v>16</v>
      </c>
      <c r="J8" s="122">
        <v>3.91</v>
      </c>
      <c r="K8" s="121" t="s">
        <v>16</v>
      </c>
      <c r="L8" s="121">
        <v>0</v>
      </c>
      <c r="M8" s="121" t="s">
        <v>16</v>
      </c>
      <c r="N8" s="122">
        <v>5.56</v>
      </c>
      <c r="O8" s="122">
        <v>2.87</v>
      </c>
      <c r="P8" s="122">
        <v>3.91</v>
      </c>
      <c r="Q8" s="123">
        <v>7.82</v>
      </c>
      <c r="S8" s="13" t="s">
        <v>60</v>
      </c>
      <c r="T8" s="10" t="s">
        <v>61</v>
      </c>
      <c r="U8" s="1"/>
      <c r="V8" s="1"/>
      <c r="W8" s="115" t="e">
        <v>#NAME?</v>
      </c>
      <c r="X8" s="116" t="s">
        <v>3</v>
      </c>
    </row>
    <row r="9" spans="1:24" ht="13.5" thickBot="1">
      <c r="A9" s="85">
        <v>9</v>
      </c>
      <c r="B9" s="124">
        <v>1</v>
      </c>
      <c r="C9" s="118">
        <v>33.4</v>
      </c>
      <c r="D9" s="119">
        <v>1.65</v>
      </c>
      <c r="E9" s="120">
        <v>2.77</v>
      </c>
      <c r="F9" s="121" t="s">
        <v>16</v>
      </c>
      <c r="G9" s="122">
        <v>2.9</v>
      </c>
      <c r="H9" s="122">
        <v>3.38</v>
      </c>
      <c r="I9" s="121" t="s">
        <v>16</v>
      </c>
      <c r="J9" s="122">
        <v>4.55</v>
      </c>
      <c r="K9" s="121" t="s">
        <v>16</v>
      </c>
      <c r="L9" s="121">
        <v>0</v>
      </c>
      <c r="M9" s="121" t="s">
        <v>16</v>
      </c>
      <c r="N9" s="122">
        <v>6.35</v>
      </c>
      <c r="O9" s="122">
        <v>3.38</v>
      </c>
      <c r="P9" s="122">
        <v>4.55</v>
      </c>
      <c r="Q9" s="123">
        <v>9.09</v>
      </c>
      <c r="S9" s="125" t="s">
        <v>8</v>
      </c>
      <c r="T9" s="21" t="s">
        <v>62</v>
      </c>
      <c r="U9" s="19"/>
      <c r="V9" s="19"/>
      <c r="W9" s="126" t="e">
        <v>#NAME?</v>
      </c>
      <c r="X9" s="127" t="s">
        <v>3</v>
      </c>
    </row>
    <row r="10" spans="1:19" ht="14.25" thickBot="1" thickTop="1">
      <c r="A10" s="85">
        <v>10</v>
      </c>
      <c r="B10" s="117">
        <v>1.5</v>
      </c>
      <c r="C10" s="118">
        <v>48.3</v>
      </c>
      <c r="D10" s="119">
        <v>1.65</v>
      </c>
      <c r="E10" s="120">
        <v>2.77</v>
      </c>
      <c r="F10" s="121" t="s">
        <v>16</v>
      </c>
      <c r="G10" s="122">
        <v>3.18</v>
      </c>
      <c r="H10" s="122">
        <v>3.68</v>
      </c>
      <c r="I10" s="121" t="s">
        <v>16</v>
      </c>
      <c r="J10" s="122">
        <v>5.08</v>
      </c>
      <c r="K10" s="121" t="s">
        <v>16</v>
      </c>
      <c r="L10" s="121">
        <v>0</v>
      </c>
      <c r="M10" s="121" t="s">
        <v>16</v>
      </c>
      <c r="N10" s="122">
        <v>7.14</v>
      </c>
      <c r="O10" s="122">
        <v>3.68</v>
      </c>
      <c r="P10" s="122">
        <v>5.08</v>
      </c>
      <c r="Q10" s="123">
        <v>10.15</v>
      </c>
      <c r="S10" s="83"/>
    </row>
    <row r="11" spans="1:24" ht="13.5" thickTop="1">
      <c r="A11" s="85">
        <v>11</v>
      </c>
      <c r="B11" s="124">
        <v>2</v>
      </c>
      <c r="C11" s="118">
        <v>60.3</v>
      </c>
      <c r="D11" s="119">
        <v>1.65</v>
      </c>
      <c r="E11" s="120">
        <v>2.77</v>
      </c>
      <c r="F11" s="121" t="s">
        <v>16</v>
      </c>
      <c r="G11" s="122">
        <v>3.18</v>
      </c>
      <c r="H11" s="122">
        <v>3.91</v>
      </c>
      <c r="I11" s="121" t="s">
        <v>16</v>
      </c>
      <c r="J11" s="122">
        <v>5.54</v>
      </c>
      <c r="K11" s="121" t="s">
        <v>16</v>
      </c>
      <c r="L11" s="121">
        <v>0</v>
      </c>
      <c r="M11" s="121" t="s">
        <v>16</v>
      </c>
      <c r="N11" s="122">
        <v>8.74</v>
      </c>
      <c r="O11" s="122">
        <v>3.91</v>
      </c>
      <c r="P11" s="122">
        <v>5.54</v>
      </c>
      <c r="Q11" s="123">
        <v>11.07</v>
      </c>
      <c r="S11" s="95" t="s">
        <v>49</v>
      </c>
      <c r="T11" s="96"/>
      <c r="U11" s="4"/>
      <c r="V11" s="96" t="s">
        <v>50</v>
      </c>
      <c r="W11" s="97">
        <v>16</v>
      </c>
      <c r="X11" s="98" t="s">
        <v>3</v>
      </c>
    </row>
    <row r="12" spans="1:24" ht="12.75">
      <c r="A12" s="85">
        <v>12</v>
      </c>
      <c r="B12" s="124">
        <v>3</v>
      </c>
      <c r="C12" s="118">
        <v>88.9</v>
      </c>
      <c r="D12" s="119">
        <v>2.11</v>
      </c>
      <c r="E12" s="120">
        <v>3.05</v>
      </c>
      <c r="F12" s="121" t="s">
        <v>16</v>
      </c>
      <c r="G12" s="122">
        <v>4.78</v>
      </c>
      <c r="H12" s="122">
        <v>5.49</v>
      </c>
      <c r="I12" s="121" t="s">
        <v>16</v>
      </c>
      <c r="J12" s="122">
        <v>7.62</v>
      </c>
      <c r="K12" s="121" t="s">
        <v>16</v>
      </c>
      <c r="L12" s="121">
        <v>0</v>
      </c>
      <c r="M12" s="121" t="s">
        <v>16</v>
      </c>
      <c r="N12" s="122">
        <v>11.13</v>
      </c>
      <c r="O12" s="122">
        <v>5.49</v>
      </c>
      <c r="P12" s="122">
        <v>7.62</v>
      </c>
      <c r="Q12" s="123">
        <v>15.24</v>
      </c>
      <c r="S12" s="104" t="s">
        <v>63</v>
      </c>
      <c r="T12" s="105"/>
      <c r="U12" s="2"/>
      <c r="V12" s="40" t="s">
        <v>57</v>
      </c>
      <c r="W12" s="106">
        <v>81</v>
      </c>
      <c r="X12" s="107"/>
    </row>
    <row r="13" spans="1:24" ht="15">
      <c r="A13" s="85">
        <v>13</v>
      </c>
      <c r="B13" s="124">
        <v>4</v>
      </c>
      <c r="C13" s="118">
        <v>114.3</v>
      </c>
      <c r="D13" s="119">
        <v>2.11</v>
      </c>
      <c r="E13" s="120">
        <v>3.05</v>
      </c>
      <c r="F13" s="121" t="s">
        <v>16</v>
      </c>
      <c r="G13" s="122">
        <v>4.78</v>
      </c>
      <c r="H13" s="122">
        <v>6.02</v>
      </c>
      <c r="I13" s="121" t="s">
        <v>16</v>
      </c>
      <c r="J13" s="122">
        <v>8.56</v>
      </c>
      <c r="K13" s="121" t="s">
        <v>16</v>
      </c>
      <c r="L13" s="122">
        <v>11.13</v>
      </c>
      <c r="M13" s="121" t="s">
        <v>16</v>
      </c>
      <c r="N13" s="122">
        <v>13.49</v>
      </c>
      <c r="O13" s="122">
        <v>6.02</v>
      </c>
      <c r="P13" s="122">
        <v>8.56</v>
      </c>
      <c r="Q13" s="123">
        <v>17.12</v>
      </c>
      <c r="S13" s="13" t="s">
        <v>58</v>
      </c>
      <c r="T13" s="10" t="s">
        <v>59</v>
      </c>
      <c r="U13" s="1"/>
      <c r="V13" s="1"/>
      <c r="W13" s="115" t="e">
        <v>#NAME?</v>
      </c>
      <c r="X13" s="116" t="s">
        <v>3</v>
      </c>
    </row>
    <row r="14" spans="1:24" ht="15">
      <c r="A14" s="85">
        <v>14</v>
      </c>
      <c r="B14" s="124">
        <v>5</v>
      </c>
      <c r="C14" s="118">
        <v>141.3</v>
      </c>
      <c r="D14" s="119">
        <v>2.77</v>
      </c>
      <c r="E14" s="120">
        <v>3.4</v>
      </c>
      <c r="F14" s="128" t="s">
        <v>16</v>
      </c>
      <c r="G14" s="128" t="s">
        <v>16</v>
      </c>
      <c r="H14" s="122">
        <v>6.55</v>
      </c>
      <c r="I14" s="128" t="s">
        <v>16</v>
      </c>
      <c r="J14" s="122">
        <v>9.53</v>
      </c>
      <c r="K14" s="128" t="s">
        <v>16</v>
      </c>
      <c r="L14" s="122">
        <v>12.7</v>
      </c>
      <c r="M14" s="128" t="s">
        <v>16</v>
      </c>
      <c r="N14" s="122">
        <v>15.88</v>
      </c>
      <c r="O14" s="122">
        <v>6.55</v>
      </c>
      <c r="P14" s="122">
        <v>9.53</v>
      </c>
      <c r="Q14" s="123">
        <v>19.05</v>
      </c>
      <c r="S14" s="13" t="s">
        <v>60</v>
      </c>
      <c r="T14" s="10" t="s">
        <v>61</v>
      </c>
      <c r="U14" s="1"/>
      <c r="V14" s="1"/>
      <c r="W14" s="115" t="e">
        <v>#NAME?</v>
      </c>
      <c r="X14" s="116" t="s">
        <v>3</v>
      </c>
    </row>
    <row r="15" spans="1:24" ht="13.5" thickBot="1">
      <c r="A15" s="85">
        <v>15</v>
      </c>
      <c r="B15" s="124">
        <v>6</v>
      </c>
      <c r="C15" s="118">
        <v>168.3</v>
      </c>
      <c r="D15" s="119">
        <v>2.77</v>
      </c>
      <c r="E15" s="120">
        <v>3.4</v>
      </c>
      <c r="F15" s="121" t="s">
        <v>16</v>
      </c>
      <c r="G15" s="121" t="s">
        <v>16</v>
      </c>
      <c r="H15" s="122">
        <v>7.11</v>
      </c>
      <c r="I15" s="121" t="s">
        <v>16</v>
      </c>
      <c r="J15" s="122">
        <v>10.97</v>
      </c>
      <c r="K15" s="121" t="s">
        <v>16</v>
      </c>
      <c r="L15" s="122">
        <v>14.27</v>
      </c>
      <c r="M15" s="121" t="s">
        <v>16</v>
      </c>
      <c r="N15" s="122">
        <v>18.26</v>
      </c>
      <c r="O15" s="122">
        <v>7.11</v>
      </c>
      <c r="P15" s="122">
        <v>10.97</v>
      </c>
      <c r="Q15" s="123">
        <v>21.95</v>
      </c>
      <c r="S15" s="125" t="s">
        <v>8</v>
      </c>
      <c r="T15" s="21" t="s">
        <v>62</v>
      </c>
      <c r="U15" s="19"/>
      <c r="V15" s="19"/>
      <c r="W15" s="126" t="e">
        <v>#NAME?</v>
      </c>
      <c r="X15" s="127" t="s">
        <v>3</v>
      </c>
    </row>
    <row r="16" spans="1:19" ht="13.5" thickTop="1">
      <c r="A16" s="85">
        <v>16</v>
      </c>
      <c r="B16" s="124">
        <v>8</v>
      </c>
      <c r="C16" s="118">
        <v>219.1</v>
      </c>
      <c r="D16" s="119">
        <v>2.77</v>
      </c>
      <c r="E16" s="120">
        <v>3.76</v>
      </c>
      <c r="F16" s="122">
        <v>6.35</v>
      </c>
      <c r="G16" s="122">
        <v>7.04</v>
      </c>
      <c r="H16" s="122">
        <v>8.18</v>
      </c>
      <c r="I16" s="122">
        <v>10.31</v>
      </c>
      <c r="J16" s="122">
        <v>12.7</v>
      </c>
      <c r="K16" s="122">
        <v>15.09</v>
      </c>
      <c r="L16" s="122">
        <v>18.26</v>
      </c>
      <c r="M16" s="122">
        <v>20.62</v>
      </c>
      <c r="N16" s="122">
        <v>23.01</v>
      </c>
      <c r="O16" s="122">
        <v>8.18</v>
      </c>
      <c r="P16" s="122">
        <v>12.7</v>
      </c>
      <c r="Q16" s="123">
        <v>22.23</v>
      </c>
      <c r="S16" t="s">
        <v>64</v>
      </c>
    </row>
    <row r="17" spans="1:17" ht="12.75">
      <c r="A17" s="85">
        <v>17</v>
      </c>
      <c r="B17" s="124">
        <v>10</v>
      </c>
      <c r="C17" s="118">
        <v>273</v>
      </c>
      <c r="D17" s="119">
        <v>3.4</v>
      </c>
      <c r="E17" s="120">
        <v>4.19</v>
      </c>
      <c r="F17" s="122">
        <v>6.35</v>
      </c>
      <c r="G17" s="122">
        <v>7.8</v>
      </c>
      <c r="H17" s="122">
        <v>9.27</v>
      </c>
      <c r="I17" s="122">
        <v>12.7</v>
      </c>
      <c r="J17" s="122">
        <v>15.09</v>
      </c>
      <c r="K17" s="122">
        <v>18.26</v>
      </c>
      <c r="L17" s="122">
        <v>21.44</v>
      </c>
      <c r="M17" s="122">
        <v>25.4</v>
      </c>
      <c r="N17" s="122">
        <v>28.58</v>
      </c>
      <c r="O17" s="122">
        <v>9.27</v>
      </c>
      <c r="P17" s="122">
        <v>12.7</v>
      </c>
      <c r="Q17" s="123">
        <v>25.4</v>
      </c>
    </row>
    <row r="18" spans="1:19" ht="12.75">
      <c r="A18" s="85">
        <v>18</v>
      </c>
      <c r="B18" s="124">
        <v>12</v>
      </c>
      <c r="C18" s="118">
        <v>323.8</v>
      </c>
      <c r="D18" s="119">
        <v>3.96</v>
      </c>
      <c r="E18" s="120">
        <v>4.57</v>
      </c>
      <c r="F18" s="122">
        <v>6.35</v>
      </c>
      <c r="G18" s="122">
        <v>8.38</v>
      </c>
      <c r="H18" s="122">
        <v>10.31</v>
      </c>
      <c r="I18" s="122">
        <v>14.27</v>
      </c>
      <c r="J18" s="122">
        <v>17.48</v>
      </c>
      <c r="K18" s="122">
        <v>21.44</v>
      </c>
      <c r="L18" s="122">
        <v>25.4</v>
      </c>
      <c r="M18" s="122">
        <v>28.58</v>
      </c>
      <c r="N18" s="122">
        <v>33.32</v>
      </c>
      <c r="O18" s="122">
        <v>9.53</v>
      </c>
      <c r="P18" s="122">
        <v>12.7</v>
      </c>
      <c r="Q18" s="123">
        <v>25.4</v>
      </c>
      <c r="S18" s="83"/>
    </row>
    <row r="19" spans="1:17" ht="12.75">
      <c r="A19" s="85">
        <v>19</v>
      </c>
      <c r="B19" s="124">
        <v>14</v>
      </c>
      <c r="C19" s="118">
        <v>355.6</v>
      </c>
      <c r="D19" s="119">
        <v>3.96</v>
      </c>
      <c r="E19" s="120">
        <v>6.35</v>
      </c>
      <c r="F19" s="122">
        <v>7.92</v>
      </c>
      <c r="G19" s="122">
        <v>9.53</v>
      </c>
      <c r="H19" s="122">
        <v>11.13</v>
      </c>
      <c r="I19" s="122">
        <v>15.09</v>
      </c>
      <c r="J19" s="122">
        <v>19.05</v>
      </c>
      <c r="K19" s="122">
        <v>23.83</v>
      </c>
      <c r="L19" s="122">
        <v>27.79</v>
      </c>
      <c r="M19" s="122">
        <v>31.75</v>
      </c>
      <c r="N19" s="122">
        <v>35.71</v>
      </c>
      <c r="O19" s="122">
        <v>9.53</v>
      </c>
      <c r="P19" s="122">
        <v>12.7</v>
      </c>
      <c r="Q19" s="129" t="s">
        <v>16</v>
      </c>
    </row>
    <row r="20" spans="1:17" ht="12.75">
      <c r="A20" s="85">
        <v>20</v>
      </c>
      <c r="B20" s="124">
        <v>16</v>
      </c>
      <c r="C20" s="118">
        <v>406.4</v>
      </c>
      <c r="D20" s="119">
        <v>4.19</v>
      </c>
      <c r="E20" s="120">
        <v>6.35</v>
      </c>
      <c r="F20" s="122">
        <v>7.92</v>
      </c>
      <c r="G20" s="122">
        <v>9.53</v>
      </c>
      <c r="H20" s="122">
        <v>12.7</v>
      </c>
      <c r="I20" s="122">
        <v>16.66</v>
      </c>
      <c r="J20" s="122">
        <v>21.44</v>
      </c>
      <c r="K20" s="122">
        <v>26.19</v>
      </c>
      <c r="L20" s="122">
        <v>30.96</v>
      </c>
      <c r="M20" s="122">
        <v>36.53</v>
      </c>
      <c r="N20" s="122">
        <v>40.49</v>
      </c>
      <c r="O20" s="122">
        <v>9.53</v>
      </c>
      <c r="P20" s="122">
        <v>12.7</v>
      </c>
      <c r="Q20" s="129" t="s">
        <v>16</v>
      </c>
    </row>
    <row r="21" spans="1:17" ht="12.75">
      <c r="A21" s="85">
        <v>21</v>
      </c>
      <c r="B21" s="124">
        <v>18</v>
      </c>
      <c r="C21" s="118">
        <v>457</v>
      </c>
      <c r="D21" s="119">
        <v>4.19</v>
      </c>
      <c r="E21" s="120">
        <v>6.35</v>
      </c>
      <c r="F21" s="122">
        <v>7.92</v>
      </c>
      <c r="G21" s="122">
        <v>11.13</v>
      </c>
      <c r="H21" s="122">
        <v>14.27</v>
      </c>
      <c r="I21" s="122">
        <v>19.05</v>
      </c>
      <c r="J21" s="122">
        <v>23.83</v>
      </c>
      <c r="K21" s="122">
        <v>29.36</v>
      </c>
      <c r="L21" s="122">
        <v>34.93</v>
      </c>
      <c r="M21" s="122">
        <v>39.67</v>
      </c>
      <c r="N21" s="122">
        <v>45.24</v>
      </c>
      <c r="O21" s="122">
        <v>9.53</v>
      </c>
      <c r="P21" s="122">
        <v>12.7</v>
      </c>
      <c r="Q21" s="129" t="s">
        <v>16</v>
      </c>
    </row>
    <row r="22" spans="1:17" ht="12.75">
      <c r="A22" s="85">
        <v>22</v>
      </c>
      <c r="B22" s="124">
        <v>20</v>
      </c>
      <c r="C22" s="118">
        <v>508</v>
      </c>
      <c r="D22" s="119">
        <v>4.78</v>
      </c>
      <c r="E22" s="120">
        <v>6.35</v>
      </c>
      <c r="F22" s="122">
        <v>9.53</v>
      </c>
      <c r="G22" s="122">
        <v>12.7</v>
      </c>
      <c r="H22" s="122">
        <v>15.09</v>
      </c>
      <c r="I22" s="122">
        <v>20.62</v>
      </c>
      <c r="J22" s="122">
        <v>26.19</v>
      </c>
      <c r="K22" s="122">
        <v>32.54</v>
      </c>
      <c r="L22" s="122">
        <v>38.1</v>
      </c>
      <c r="M22" s="122">
        <v>44.45</v>
      </c>
      <c r="N22" s="122">
        <v>50.01</v>
      </c>
      <c r="O22" s="122">
        <v>9.53</v>
      </c>
      <c r="P22" s="122">
        <v>12.7</v>
      </c>
      <c r="Q22" s="129" t="s">
        <v>16</v>
      </c>
    </row>
    <row r="23" spans="1:17" ht="12.75">
      <c r="A23" s="85">
        <v>23</v>
      </c>
      <c r="B23" s="124">
        <v>22</v>
      </c>
      <c r="C23" s="118">
        <v>559</v>
      </c>
      <c r="D23" s="130">
        <v>4.78</v>
      </c>
      <c r="E23" s="120">
        <v>6.35</v>
      </c>
      <c r="F23" s="122">
        <v>9.53</v>
      </c>
      <c r="G23" s="122">
        <v>12.7</v>
      </c>
      <c r="H23" s="121" t="s">
        <v>16</v>
      </c>
      <c r="I23" s="122">
        <v>22.23</v>
      </c>
      <c r="J23" s="122">
        <v>28.58</v>
      </c>
      <c r="K23" s="122">
        <v>34.93</v>
      </c>
      <c r="L23" s="122">
        <v>41.28</v>
      </c>
      <c r="M23" s="122">
        <v>47.63</v>
      </c>
      <c r="N23" s="122">
        <v>53.98</v>
      </c>
      <c r="O23" s="122">
        <v>9.53</v>
      </c>
      <c r="P23" s="122">
        <v>12.7</v>
      </c>
      <c r="Q23" s="129" t="s">
        <v>16</v>
      </c>
    </row>
    <row r="24" spans="1:17" ht="12.75">
      <c r="A24" s="85">
        <v>24</v>
      </c>
      <c r="B24" s="124">
        <v>24</v>
      </c>
      <c r="C24" s="118">
        <v>610</v>
      </c>
      <c r="D24" s="119">
        <v>5.54</v>
      </c>
      <c r="E24" s="120">
        <v>6.35</v>
      </c>
      <c r="F24" s="122">
        <v>9.53</v>
      </c>
      <c r="G24" s="122">
        <v>14.27</v>
      </c>
      <c r="H24" s="122">
        <v>17.48</v>
      </c>
      <c r="I24" s="122">
        <v>24.61</v>
      </c>
      <c r="J24" s="122">
        <v>30.96</v>
      </c>
      <c r="K24" s="122">
        <v>38.89</v>
      </c>
      <c r="L24" s="122">
        <v>46.02</v>
      </c>
      <c r="M24" s="122">
        <v>52.37</v>
      </c>
      <c r="N24" s="122">
        <v>59.54</v>
      </c>
      <c r="O24" s="122">
        <v>9.53</v>
      </c>
      <c r="P24" s="122">
        <v>12.7</v>
      </c>
      <c r="Q24" s="129" t="s">
        <v>16</v>
      </c>
    </row>
    <row r="25" spans="1:17" ht="12.75">
      <c r="A25" s="85">
        <v>25</v>
      </c>
      <c r="B25" s="124">
        <v>26</v>
      </c>
      <c r="C25" s="118">
        <v>660</v>
      </c>
      <c r="D25" s="131" t="s">
        <v>16</v>
      </c>
      <c r="E25" s="120">
        <v>7.92</v>
      </c>
      <c r="F25" s="122">
        <v>12.7</v>
      </c>
      <c r="G25" s="132">
        <v>15.88</v>
      </c>
      <c r="H25" s="121" t="s">
        <v>16</v>
      </c>
      <c r="I25" s="121" t="s">
        <v>16</v>
      </c>
      <c r="J25" s="121" t="s">
        <v>16</v>
      </c>
      <c r="K25" s="121" t="s">
        <v>16</v>
      </c>
      <c r="L25" s="121" t="s">
        <v>16</v>
      </c>
      <c r="M25" s="121" t="s">
        <v>16</v>
      </c>
      <c r="N25" s="121" t="s">
        <v>16</v>
      </c>
      <c r="O25" s="122">
        <v>9.53</v>
      </c>
      <c r="P25" s="122">
        <v>12.7</v>
      </c>
      <c r="Q25" s="129" t="s">
        <v>16</v>
      </c>
    </row>
    <row r="26" spans="1:25" s="27" customFormat="1" ht="12.75">
      <c r="A26" s="85">
        <v>26</v>
      </c>
      <c r="B26" s="124">
        <v>28</v>
      </c>
      <c r="C26" s="118">
        <v>711</v>
      </c>
      <c r="D26" s="131" t="s">
        <v>16</v>
      </c>
      <c r="E26" s="120">
        <v>7.92</v>
      </c>
      <c r="F26" s="122">
        <v>12.7</v>
      </c>
      <c r="G26" s="121" t="s">
        <v>16</v>
      </c>
      <c r="H26" s="121" t="s">
        <v>16</v>
      </c>
      <c r="I26" s="121" t="s">
        <v>16</v>
      </c>
      <c r="J26" s="121" t="s">
        <v>16</v>
      </c>
      <c r="K26" s="121" t="s">
        <v>16</v>
      </c>
      <c r="L26" s="121" t="s">
        <v>16</v>
      </c>
      <c r="M26" s="121" t="s">
        <v>16</v>
      </c>
      <c r="N26" s="121" t="s">
        <v>16</v>
      </c>
      <c r="O26" s="122">
        <v>9.53</v>
      </c>
      <c r="P26" s="122">
        <v>12.7</v>
      </c>
      <c r="Q26" s="129" t="s">
        <v>16</v>
      </c>
      <c r="S26"/>
      <c r="T26"/>
      <c r="U26"/>
      <c r="V26"/>
      <c r="W26"/>
      <c r="X26"/>
      <c r="Y26"/>
    </row>
    <row r="27" spans="1:25" s="27" customFormat="1" ht="12.75">
      <c r="A27" s="85">
        <v>27</v>
      </c>
      <c r="B27" s="124">
        <v>30</v>
      </c>
      <c r="C27" s="118">
        <v>762</v>
      </c>
      <c r="D27" s="119">
        <v>6.35</v>
      </c>
      <c r="E27" s="120">
        <v>7.92</v>
      </c>
      <c r="F27" s="122">
        <v>12.7</v>
      </c>
      <c r="G27" s="122">
        <v>15.88</v>
      </c>
      <c r="H27" s="121" t="s">
        <v>16</v>
      </c>
      <c r="I27" s="121" t="s">
        <v>16</v>
      </c>
      <c r="J27" s="121" t="s">
        <v>16</v>
      </c>
      <c r="K27" s="121" t="s">
        <v>16</v>
      </c>
      <c r="L27" s="121" t="s">
        <v>16</v>
      </c>
      <c r="M27" s="121" t="s">
        <v>16</v>
      </c>
      <c r="N27" s="121" t="s">
        <v>16</v>
      </c>
      <c r="O27" s="122">
        <v>9.53</v>
      </c>
      <c r="P27" s="122">
        <v>12.7</v>
      </c>
      <c r="Q27" s="129" t="s">
        <v>16</v>
      </c>
      <c r="S27"/>
      <c r="T27"/>
      <c r="U27"/>
      <c r="V27"/>
      <c r="W27"/>
      <c r="X27"/>
      <c r="Y27"/>
    </row>
    <row r="28" spans="1:25" s="27" customFormat="1" ht="12.75">
      <c r="A28" s="85">
        <v>28</v>
      </c>
      <c r="B28" s="124">
        <v>32</v>
      </c>
      <c r="C28" s="118">
        <v>813</v>
      </c>
      <c r="D28" s="131" t="s">
        <v>16</v>
      </c>
      <c r="E28" s="120">
        <v>7.92</v>
      </c>
      <c r="F28" s="122">
        <v>12.7</v>
      </c>
      <c r="G28" s="122">
        <v>15.88</v>
      </c>
      <c r="H28" s="122">
        <v>17.48</v>
      </c>
      <c r="I28" s="121" t="s">
        <v>16</v>
      </c>
      <c r="J28" s="121" t="s">
        <v>16</v>
      </c>
      <c r="K28" s="121" t="s">
        <v>16</v>
      </c>
      <c r="L28" s="121" t="s">
        <v>16</v>
      </c>
      <c r="M28" s="121" t="s">
        <v>16</v>
      </c>
      <c r="N28" s="121" t="s">
        <v>16</v>
      </c>
      <c r="O28" s="122">
        <v>9.53</v>
      </c>
      <c r="P28" s="122">
        <v>12.7</v>
      </c>
      <c r="Q28" s="129" t="s">
        <v>16</v>
      </c>
      <c r="S28"/>
      <c r="T28"/>
      <c r="U28"/>
      <c r="V28"/>
      <c r="W28"/>
      <c r="X28"/>
      <c r="Y28"/>
    </row>
    <row r="29" spans="1:25" s="27" customFormat="1" ht="12.75">
      <c r="A29" s="85">
        <v>29</v>
      </c>
      <c r="B29" s="124">
        <v>34</v>
      </c>
      <c r="C29" s="118">
        <v>864</v>
      </c>
      <c r="D29" s="131" t="s">
        <v>16</v>
      </c>
      <c r="E29" s="120">
        <v>7.92</v>
      </c>
      <c r="F29" s="122">
        <v>12.7</v>
      </c>
      <c r="G29" s="122">
        <v>15.88</v>
      </c>
      <c r="H29" s="122">
        <v>17.48</v>
      </c>
      <c r="I29" s="121" t="s">
        <v>16</v>
      </c>
      <c r="J29" s="121" t="s">
        <v>16</v>
      </c>
      <c r="K29" s="121" t="s">
        <v>16</v>
      </c>
      <c r="L29" s="121" t="s">
        <v>16</v>
      </c>
      <c r="M29" s="121" t="s">
        <v>16</v>
      </c>
      <c r="N29" s="121" t="s">
        <v>16</v>
      </c>
      <c r="O29" s="122">
        <v>9.53</v>
      </c>
      <c r="P29" s="122">
        <v>12.7</v>
      </c>
      <c r="Q29" s="129" t="s">
        <v>16</v>
      </c>
      <c r="S29"/>
      <c r="T29"/>
      <c r="U29"/>
      <c r="V29"/>
      <c r="W29"/>
      <c r="X29"/>
      <c r="Y29"/>
    </row>
    <row r="30" spans="1:25" s="27" customFormat="1" ht="12.75">
      <c r="A30" s="85">
        <v>30</v>
      </c>
      <c r="B30" s="124">
        <v>36</v>
      </c>
      <c r="C30" s="118">
        <v>914</v>
      </c>
      <c r="D30" s="131" t="s">
        <v>16</v>
      </c>
      <c r="E30" s="122">
        <v>7.92</v>
      </c>
      <c r="F30" s="122">
        <v>12.7</v>
      </c>
      <c r="G30" s="122">
        <v>15.88</v>
      </c>
      <c r="H30" s="122">
        <v>19.05</v>
      </c>
      <c r="I30" s="121" t="s">
        <v>16</v>
      </c>
      <c r="J30" s="121" t="s">
        <v>16</v>
      </c>
      <c r="K30" s="121" t="s">
        <v>16</v>
      </c>
      <c r="L30" s="121" t="s">
        <v>16</v>
      </c>
      <c r="M30" s="121" t="s">
        <v>16</v>
      </c>
      <c r="N30" s="121" t="s">
        <v>16</v>
      </c>
      <c r="O30" s="122">
        <v>9.53</v>
      </c>
      <c r="P30" s="122">
        <v>12.7</v>
      </c>
      <c r="Q30" s="129" t="s">
        <v>16</v>
      </c>
      <c r="S30"/>
      <c r="T30"/>
      <c r="U30"/>
      <c r="V30"/>
      <c r="W30"/>
      <c r="X30"/>
      <c r="Y30"/>
    </row>
    <row r="31" spans="1:25" s="27" customFormat="1" ht="12.75">
      <c r="A31" s="85">
        <v>31</v>
      </c>
      <c r="B31" s="124">
        <v>38</v>
      </c>
      <c r="C31" s="133">
        <v>965</v>
      </c>
      <c r="D31" s="131" t="s">
        <v>16</v>
      </c>
      <c r="E31" s="121" t="s">
        <v>16</v>
      </c>
      <c r="F31" s="121" t="s">
        <v>16</v>
      </c>
      <c r="G31" s="121" t="s">
        <v>16</v>
      </c>
      <c r="H31" s="121" t="s">
        <v>16</v>
      </c>
      <c r="I31" s="121" t="s">
        <v>16</v>
      </c>
      <c r="J31" s="121" t="s">
        <v>16</v>
      </c>
      <c r="K31" s="121" t="s">
        <v>16</v>
      </c>
      <c r="L31" s="121" t="s">
        <v>16</v>
      </c>
      <c r="M31" s="121" t="s">
        <v>16</v>
      </c>
      <c r="N31" s="121" t="s">
        <v>16</v>
      </c>
      <c r="O31" s="122">
        <v>9.53</v>
      </c>
      <c r="P31" s="122">
        <v>12.7</v>
      </c>
      <c r="Q31" s="129" t="s">
        <v>16</v>
      </c>
      <c r="S31"/>
      <c r="T31"/>
      <c r="U31"/>
      <c r="V31"/>
      <c r="W31"/>
      <c r="X31"/>
      <c r="Y31"/>
    </row>
    <row r="32" spans="1:25" s="27" customFormat="1" ht="12.75">
      <c r="A32" s="85">
        <v>32</v>
      </c>
      <c r="B32" s="124">
        <v>40</v>
      </c>
      <c r="C32" s="133">
        <v>1016</v>
      </c>
      <c r="D32" s="131" t="s">
        <v>16</v>
      </c>
      <c r="E32" s="121" t="s">
        <v>16</v>
      </c>
      <c r="F32" s="121" t="s">
        <v>16</v>
      </c>
      <c r="G32" s="121" t="s">
        <v>16</v>
      </c>
      <c r="H32" s="121" t="s">
        <v>16</v>
      </c>
      <c r="I32" s="121" t="s">
        <v>16</v>
      </c>
      <c r="J32" s="121" t="s">
        <v>16</v>
      </c>
      <c r="K32" s="121" t="s">
        <v>16</v>
      </c>
      <c r="L32" s="121" t="s">
        <v>16</v>
      </c>
      <c r="M32" s="121" t="s">
        <v>16</v>
      </c>
      <c r="N32" s="121" t="s">
        <v>16</v>
      </c>
      <c r="O32" s="122">
        <v>9.53</v>
      </c>
      <c r="P32" s="122">
        <v>12.7</v>
      </c>
      <c r="Q32" s="129" t="s">
        <v>16</v>
      </c>
      <c r="S32"/>
      <c r="T32"/>
      <c r="U32"/>
      <c r="V32"/>
      <c r="W32"/>
      <c r="X32"/>
      <c r="Y32"/>
    </row>
    <row r="33" spans="1:25" s="27" customFormat="1" ht="12.75">
      <c r="A33" s="85">
        <v>33</v>
      </c>
      <c r="B33" s="124">
        <v>42</v>
      </c>
      <c r="C33" s="133">
        <v>1067</v>
      </c>
      <c r="D33" s="131" t="s">
        <v>16</v>
      </c>
      <c r="E33" s="121" t="s">
        <v>16</v>
      </c>
      <c r="F33" s="121" t="s">
        <v>16</v>
      </c>
      <c r="G33" s="121" t="s">
        <v>16</v>
      </c>
      <c r="H33" s="121" t="s">
        <v>16</v>
      </c>
      <c r="I33" s="121" t="s">
        <v>16</v>
      </c>
      <c r="J33" s="121" t="s">
        <v>16</v>
      </c>
      <c r="K33" s="121" t="s">
        <v>16</v>
      </c>
      <c r="L33" s="121" t="s">
        <v>16</v>
      </c>
      <c r="M33" s="121" t="s">
        <v>16</v>
      </c>
      <c r="N33" s="121" t="s">
        <v>16</v>
      </c>
      <c r="O33" s="122">
        <v>9.53</v>
      </c>
      <c r="P33" s="122">
        <v>12.7</v>
      </c>
      <c r="Q33" s="129" t="s">
        <v>16</v>
      </c>
      <c r="S33"/>
      <c r="T33"/>
      <c r="U33"/>
      <c r="V33"/>
      <c r="W33"/>
      <c r="X33"/>
      <c r="Y33"/>
    </row>
    <row r="34" spans="1:25" s="27" customFormat="1" ht="12.75">
      <c r="A34" s="85">
        <v>34</v>
      </c>
      <c r="B34" s="124">
        <v>44</v>
      </c>
      <c r="C34" s="133">
        <v>1118</v>
      </c>
      <c r="D34" s="131" t="s">
        <v>16</v>
      </c>
      <c r="E34" s="121" t="s">
        <v>16</v>
      </c>
      <c r="F34" s="121" t="s">
        <v>16</v>
      </c>
      <c r="G34" s="121" t="s">
        <v>16</v>
      </c>
      <c r="H34" s="121" t="s">
        <v>16</v>
      </c>
      <c r="I34" s="121" t="s">
        <v>16</v>
      </c>
      <c r="J34" s="121" t="s">
        <v>16</v>
      </c>
      <c r="K34" s="121" t="s">
        <v>16</v>
      </c>
      <c r="L34" s="121" t="s">
        <v>16</v>
      </c>
      <c r="M34" s="121" t="s">
        <v>16</v>
      </c>
      <c r="N34" s="121" t="s">
        <v>16</v>
      </c>
      <c r="O34" s="122">
        <v>9.53</v>
      </c>
      <c r="P34" s="122">
        <v>12.7</v>
      </c>
      <c r="Q34" s="129" t="s">
        <v>16</v>
      </c>
      <c r="S34"/>
      <c r="T34"/>
      <c r="U34"/>
      <c r="V34"/>
      <c r="W34"/>
      <c r="X34"/>
      <c r="Y34"/>
    </row>
    <row r="35" spans="1:21" s="27" customFormat="1" ht="12.75">
      <c r="A35" s="85">
        <v>35</v>
      </c>
      <c r="B35" s="124">
        <v>46</v>
      </c>
      <c r="C35" s="133">
        <v>1168</v>
      </c>
      <c r="D35" s="131" t="s">
        <v>16</v>
      </c>
      <c r="E35" s="121" t="s">
        <v>16</v>
      </c>
      <c r="F35" s="121" t="s">
        <v>16</v>
      </c>
      <c r="G35" s="121" t="s">
        <v>16</v>
      </c>
      <c r="H35" s="121" t="s">
        <v>16</v>
      </c>
      <c r="I35" s="121" t="s">
        <v>16</v>
      </c>
      <c r="J35" s="121" t="s">
        <v>16</v>
      </c>
      <c r="K35" s="121" t="s">
        <v>16</v>
      </c>
      <c r="L35" s="121" t="s">
        <v>16</v>
      </c>
      <c r="M35" s="121" t="s">
        <v>16</v>
      </c>
      <c r="N35" s="121" t="s">
        <v>16</v>
      </c>
      <c r="O35" s="122">
        <v>9.53</v>
      </c>
      <c r="P35" s="122">
        <v>12.7</v>
      </c>
      <c r="Q35" s="129" t="s">
        <v>16</v>
      </c>
      <c r="U35" s="86"/>
    </row>
    <row r="36" spans="1:21" s="27" customFormat="1" ht="13.5" thickBot="1">
      <c r="A36" s="85">
        <v>36</v>
      </c>
      <c r="B36" s="134">
        <v>48</v>
      </c>
      <c r="C36" s="135">
        <v>1219</v>
      </c>
      <c r="D36" s="136" t="s">
        <v>16</v>
      </c>
      <c r="E36" s="137" t="s">
        <v>16</v>
      </c>
      <c r="F36" s="137" t="s">
        <v>16</v>
      </c>
      <c r="G36" s="137" t="s">
        <v>16</v>
      </c>
      <c r="H36" s="137" t="s">
        <v>16</v>
      </c>
      <c r="I36" s="137" t="s">
        <v>16</v>
      </c>
      <c r="J36" s="137" t="s">
        <v>16</v>
      </c>
      <c r="K36" s="137" t="s">
        <v>16</v>
      </c>
      <c r="L36" s="137" t="s">
        <v>16</v>
      </c>
      <c r="M36" s="137" t="s">
        <v>16</v>
      </c>
      <c r="N36" s="137" t="s">
        <v>16</v>
      </c>
      <c r="O36" s="138">
        <v>9.53</v>
      </c>
      <c r="P36" s="138">
        <v>12.7</v>
      </c>
      <c r="Q36" s="139" t="s">
        <v>16</v>
      </c>
      <c r="U36" s="86"/>
    </row>
    <row r="37" s="27" customFormat="1" ht="13.5" thickTop="1"/>
    <row r="43" ht="12.75">
      <c r="C43" t="s">
        <v>65</v>
      </c>
    </row>
    <row r="45" ht="12.75">
      <c r="C45" t="s">
        <v>66</v>
      </c>
    </row>
    <row r="46" ht="12.75">
      <c r="C46" t="s">
        <v>67</v>
      </c>
    </row>
    <row r="47" ht="12.75">
      <c r="C47" t="s">
        <v>68</v>
      </c>
    </row>
    <row r="48" ht="12.75">
      <c r="C48" t="s">
        <v>69</v>
      </c>
    </row>
    <row r="49" ht="12.75">
      <c r="C49" t="s">
        <v>70</v>
      </c>
    </row>
    <row r="51" ht="12.75">
      <c r="C51" t="s">
        <v>71</v>
      </c>
    </row>
    <row r="52" ht="12.75">
      <c r="C52" t="s">
        <v>72</v>
      </c>
    </row>
    <row r="53" ht="12.75">
      <c r="C53" t="s">
        <v>73</v>
      </c>
    </row>
    <row r="54" ht="12.75">
      <c r="C54" t="s">
        <v>74</v>
      </c>
    </row>
    <row r="55" ht="12.75">
      <c r="C55" t="s">
        <v>75</v>
      </c>
    </row>
    <row r="56" ht="12.75">
      <c r="C56" t="s">
        <v>76</v>
      </c>
    </row>
    <row r="57" ht="12.75">
      <c r="C57" t="s">
        <v>77</v>
      </c>
    </row>
    <row r="58" ht="12.75">
      <c r="C58" t="s">
        <v>78</v>
      </c>
    </row>
    <row r="59" ht="12.75">
      <c r="C59" t="s">
        <v>0</v>
      </c>
    </row>
    <row r="60" ht="12.75">
      <c r="C60" t="s">
        <v>79</v>
      </c>
    </row>
    <row r="61" ht="12.75">
      <c r="C61" t="s">
        <v>80</v>
      </c>
    </row>
    <row r="62" ht="12.75">
      <c r="C62" t="s">
        <v>81</v>
      </c>
    </row>
    <row r="63" ht="12.75">
      <c r="C63" t="s">
        <v>82</v>
      </c>
    </row>
    <row r="64" ht="12.75">
      <c r="C64" t="s">
        <v>83</v>
      </c>
    </row>
    <row r="65" ht="12.75">
      <c r="C65" t="s">
        <v>84</v>
      </c>
    </row>
    <row r="66" ht="12.75">
      <c r="C66" t="s">
        <v>85</v>
      </c>
    </row>
    <row r="67" ht="12.75">
      <c r="C67" t="s">
        <v>86</v>
      </c>
    </row>
    <row r="68" ht="12.75">
      <c r="C68" t="s">
        <v>87</v>
      </c>
    </row>
    <row r="69" ht="12.75">
      <c r="C69" t="s">
        <v>88</v>
      </c>
    </row>
    <row r="70" ht="12.75">
      <c r="C70" t="s">
        <v>89</v>
      </c>
    </row>
    <row r="71" ht="12.75">
      <c r="C71" t="s">
        <v>90</v>
      </c>
    </row>
    <row r="72" ht="12.75">
      <c r="C72" t="s">
        <v>91</v>
      </c>
    </row>
    <row r="73" ht="12.75">
      <c r="C73" t="s">
        <v>92</v>
      </c>
    </row>
    <row r="74" ht="12.75">
      <c r="C74" t="s">
        <v>93</v>
      </c>
    </row>
    <row r="75" ht="12.75">
      <c r="C75" t="s">
        <v>94</v>
      </c>
    </row>
    <row r="76" ht="12.75">
      <c r="C76" t="s">
        <v>95</v>
      </c>
    </row>
    <row r="77" ht="12.75">
      <c r="C77" t="s">
        <v>96</v>
      </c>
    </row>
    <row r="78" ht="12.75">
      <c r="C78" t="s">
        <v>97</v>
      </c>
    </row>
    <row r="79" ht="12.75">
      <c r="C79" t="s">
        <v>98</v>
      </c>
    </row>
    <row r="80" ht="12.75">
      <c r="C80" t="s">
        <v>99</v>
      </c>
    </row>
    <row r="81" ht="12.75">
      <c r="C81" t="s">
        <v>100</v>
      </c>
    </row>
    <row r="82" ht="12.75">
      <c r="C82" t="s">
        <v>101</v>
      </c>
    </row>
    <row r="83" ht="12.75">
      <c r="C83" t="s">
        <v>102</v>
      </c>
    </row>
    <row r="84" ht="12.75">
      <c r="C84" t="s">
        <v>103</v>
      </c>
    </row>
    <row r="85" ht="12.75">
      <c r="C85" t="s">
        <v>104</v>
      </c>
    </row>
    <row r="86" ht="12.75">
      <c r="C86" t="s">
        <v>105</v>
      </c>
    </row>
    <row r="87" ht="12.75">
      <c r="C87" t="s">
        <v>106</v>
      </c>
    </row>
    <row r="88" ht="12.75">
      <c r="C88" t="s">
        <v>107</v>
      </c>
    </row>
    <row r="89" ht="12.75">
      <c r="C89" t="s">
        <v>108</v>
      </c>
    </row>
    <row r="90" ht="12.75">
      <c r="C90" t="s">
        <v>109</v>
      </c>
    </row>
    <row r="91" ht="12.75">
      <c r="C91" t="s">
        <v>110</v>
      </c>
    </row>
    <row r="92" ht="12.75">
      <c r="C92" t="s">
        <v>111</v>
      </c>
    </row>
    <row r="93" ht="12.75">
      <c r="C93" t="s">
        <v>112</v>
      </c>
    </row>
    <row r="94" ht="12.75">
      <c r="C94" t="s">
        <v>28</v>
      </c>
    </row>
    <row r="95" ht="12.75">
      <c r="C95" t="s">
        <v>113</v>
      </c>
    </row>
    <row r="96" ht="12.75">
      <c r="C96" t="s">
        <v>114</v>
      </c>
    </row>
    <row r="97" ht="12.75">
      <c r="C97" t="s">
        <v>29</v>
      </c>
    </row>
    <row r="99" ht="12.75">
      <c r="C99" t="s">
        <v>115</v>
      </c>
    </row>
    <row r="100" ht="12.75">
      <c r="C100" t="s">
        <v>116</v>
      </c>
    </row>
    <row r="101" ht="12.75">
      <c r="C101" t="s">
        <v>117</v>
      </c>
    </row>
    <row r="103" ht="12.75">
      <c r="C103" t="s">
        <v>118</v>
      </c>
    </row>
    <row r="106" ht="12.75">
      <c r="C106" t="s">
        <v>119</v>
      </c>
    </row>
    <row r="108" ht="12.75">
      <c r="C108" t="s">
        <v>120</v>
      </c>
    </row>
    <row r="109" ht="12.75">
      <c r="C109" t="s">
        <v>121</v>
      </c>
    </row>
    <row r="110" ht="12.75">
      <c r="C110" t="s">
        <v>122</v>
      </c>
    </row>
    <row r="111" ht="12.75">
      <c r="C111" t="s">
        <v>0</v>
      </c>
    </row>
    <row r="112" ht="12.75">
      <c r="C112" t="s">
        <v>123</v>
      </c>
    </row>
    <row r="113" ht="12.75">
      <c r="C113" t="s">
        <v>124</v>
      </c>
    </row>
    <row r="114" ht="12.75">
      <c r="C114" t="s">
        <v>125</v>
      </c>
    </row>
    <row r="115" ht="12.75">
      <c r="C115" t="s">
        <v>74</v>
      </c>
    </row>
    <row r="116" ht="12.75">
      <c r="C116" t="s">
        <v>126</v>
      </c>
    </row>
    <row r="117" ht="12.75">
      <c r="C117" t="s">
        <v>76</v>
      </c>
    </row>
    <row r="118" ht="12.75">
      <c r="C118" t="s">
        <v>127</v>
      </c>
    </row>
    <row r="119" ht="12.75">
      <c r="C119" t="s">
        <v>128</v>
      </c>
    </row>
    <row r="120" ht="12.75">
      <c r="C120" t="s">
        <v>129</v>
      </c>
    </row>
    <row r="121" ht="12.75">
      <c r="C121" t="s">
        <v>78</v>
      </c>
    </row>
    <row r="122" ht="12.75">
      <c r="C122" t="s">
        <v>74</v>
      </c>
    </row>
    <row r="123" ht="12.75">
      <c r="C123" t="s">
        <v>130</v>
      </c>
    </row>
    <row r="124" ht="12.75">
      <c r="C124" t="s">
        <v>131</v>
      </c>
    </row>
    <row r="125" ht="12.75">
      <c r="C125" t="s">
        <v>132</v>
      </c>
    </row>
    <row r="126" ht="12.75">
      <c r="C126" t="s">
        <v>133</v>
      </c>
    </row>
    <row r="127" ht="12.75">
      <c r="C127" t="s">
        <v>124</v>
      </c>
    </row>
    <row r="128" ht="12.75">
      <c r="C128" t="s">
        <v>80</v>
      </c>
    </row>
    <row r="129" ht="12.75">
      <c r="C129" t="s">
        <v>81</v>
      </c>
    </row>
    <row r="130" ht="12.75">
      <c r="C130" t="s">
        <v>82</v>
      </c>
    </row>
    <row r="131" ht="12.75">
      <c r="C131" t="s">
        <v>83</v>
      </c>
    </row>
    <row r="132" ht="12.75">
      <c r="C132" t="s">
        <v>84</v>
      </c>
    </row>
    <row r="133" ht="12.75">
      <c r="C133" t="s">
        <v>85</v>
      </c>
    </row>
    <row r="134" ht="12.75">
      <c r="C134" t="s">
        <v>86</v>
      </c>
    </row>
    <row r="135" ht="12.75">
      <c r="C135" t="s">
        <v>87</v>
      </c>
    </row>
    <row r="136" ht="12.75">
      <c r="C136" t="s">
        <v>88</v>
      </c>
    </row>
    <row r="137" ht="12.75">
      <c r="C137" t="s">
        <v>89</v>
      </c>
    </row>
    <row r="138" ht="12.75">
      <c r="C138" t="s">
        <v>90</v>
      </c>
    </row>
    <row r="139" ht="12.75">
      <c r="C139" t="s">
        <v>91</v>
      </c>
    </row>
    <row r="140" ht="12.75">
      <c r="C140" t="s">
        <v>92</v>
      </c>
    </row>
    <row r="141" ht="12.75">
      <c r="C141" t="s">
        <v>93</v>
      </c>
    </row>
    <row r="142" ht="12.75">
      <c r="C142" t="s">
        <v>94</v>
      </c>
    </row>
    <row r="143" ht="12.75">
      <c r="C143" t="s">
        <v>95</v>
      </c>
    </row>
    <row r="144" ht="12.75">
      <c r="C144" t="s">
        <v>96</v>
      </c>
    </row>
    <row r="145" ht="12.75">
      <c r="C145" t="s">
        <v>97</v>
      </c>
    </row>
    <row r="146" ht="12.75">
      <c r="C146" t="s">
        <v>98</v>
      </c>
    </row>
    <row r="147" ht="12.75">
      <c r="C147" t="s">
        <v>99</v>
      </c>
    </row>
    <row r="148" ht="12.75">
      <c r="C148" t="s">
        <v>100</v>
      </c>
    </row>
    <row r="149" ht="12.75">
      <c r="C149" t="s">
        <v>101</v>
      </c>
    </row>
    <row r="150" ht="12.75">
      <c r="C150" t="s">
        <v>102</v>
      </c>
    </row>
    <row r="151" ht="12.75">
      <c r="C151" t="s">
        <v>103</v>
      </c>
    </row>
    <row r="152" ht="12.75">
      <c r="C152" t="s">
        <v>104</v>
      </c>
    </row>
    <row r="153" ht="12.75">
      <c r="C153" t="s">
        <v>105</v>
      </c>
    </row>
    <row r="154" ht="12.75">
      <c r="C154" t="s">
        <v>106</v>
      </c>
    </row>
    <row r="155" ht="12.75">
      <c r="C155" t="s">
        <v>107</v>
      </c>
    </row>
    <row r="156" ht="12.75">
      <c r="C156" t="s">
        <v>108</v>
      </c>
    </row>
    <row r="157" ht="12.75">
      <c r="C157" t="s">
        <v>109</v>
      </c>
    </row>
    <row r="158" ht="12.75">
      <c r="C158" t="s">
        <v>110</v>
      </c>
    </row>
    <row r="159" ht="12.75">
      <c r="C159" t="s">
        <v>28</v>
      </c>
    </row>
    <row r="160" ht="12.75">
      <c r="C160" t="s">
        <v>134</v>
      </c>
    </row>
    <row r="161" ht="12.75">
      <c r="C161" t="s">
        <v>135</v>
      </c>
    </row>
    <row r="162" ht="12.75">
      <c r="C162" t="s">
        <v>136</v>
      </c>
    </row>
    <row r="163" ht="12.75">
      <c r="C163" t="s">
        <v>29</v>
      </c>
    </row>
    <row r="167" ht="12.75">
      <c r="C167" t="s">
        <v>137</v>
      </c>
    </row>
    <row r="168" ht="12.75">
      <c r="C168" t="s">
        <v>138</v>
      </c>
    </row>
    <row r="169" ht="12.75">
      <c r="C169" t="s">
        <v>139</v>
      </c>
    </row>
    <row r="170" ht="12.75">
      <c r="C170" t="s">
        <v>140</v>
      </c>
    </row>
    <row r="171" ht="12.75">
      <c r="C171" t="s">
        <v>141</v>
      </c>
    </row>
    <row r="172" ht="12.75">
      <c r="C172" t="s">
        <v>142</v>
      </c>
    </row>
    <row r="173" ht="12.75">
      <c r="C173" t="s">
        <v>143</v>
      </c>
    </row>
    <row r="174" ht="12.75">
      <c r="C174" t="s">
        <v>144</v>
      </c>
    </row>
    <row r="175" ht="12.75">
      <c r="C175" t="s">
        <v>145</v>
      </c>
    </row>
    <row r="176" ht="12.75">
      <c r="C176" t="s">
        <v>146</v>
      </c>
    </row>
    <row r="177" ht="12.75">
      <c r="C177" t="s">
        <v>147</v>
      </c>
    </row>
    <row r="178" ht="12.75">
      <c r="C178" t="s">
        <v>148</v>
      </c>
    </row>
    <row r="179" ht="12.75">
      <c r="C179" t="s">
        <v>149</v>
      </c>
    </row>
    <row r="180" ht="12.75">
      <c r="C180" t="s">
        <v>150</v>
      </c>
    </row>
    <row r="181" ht="12.75">
      <c r="C181" t="s">
        <v>151</v>
      </c>
    </row>
    <row r="183" ht="12.75">
      <c r="C183" t="s">
        <v>28</v>
      </c>
    </row>
    <row r="184" ht="12.75">
      <c r="C184" t="s">
        <v>152</v>
      </c>
    </row>
    <row r="185" ht="12.75">
      <c r="C185" t="s">
        <v>153</v>
      </c>
    </row>
    <row r="186" ht="12.75">
      <c r="C186" t="s">
        <v>29</v>
      </c>
    </row>
    <row r="190" ht="12.75">
      <c r="C190" t="s">
        <v>0</v>
      </c>
    </row>
    <row r="191" ht="12.75">
      <c r="C191" t="s">
        <v>154</v>
      </c>
    </row>
    <row r="192" ht="12.75">
      <c r="C192" t="s">
        <v>155</v>
      </c>
    </row>
    <row r="193" ht="12.75">
      <c r="C193" t="s">
        <v>131</v>
      </c>
    </row>
    <row r="194" ht="12.75">
      <c r="C194" t="s">
        <v>156</v>
      </c>
    </row>
    <row r="195" ht="12.75">
      <c r="C195" t="s">
        <v>118</v>
      </c>
    </row>
    <row r="197" ht="12.75">
      <c r="C197" t="s">
        <v>157</v>
      </c>
    </row>
    <row r="198" ht="12.75">
      <c r="C198" t="s">
        <v>158</v>
      </c>
    </row>
    <row r="199" ht="12.75">
      <c r="C199" t="s">
        <v>159</v>
      </c>
    </row>
    <row r="200" ht="12.75">
      <c r="C200" t="s">
        <v>121</v>
      </c>
    </row>
    <row r="201" ht="12.75">
      <c r="C201" t="s">
        <v>122</v>
      </c>
    </row>
    <row r="203" ht="12.75">
      <c r="C203" t="s">
        <v>160</v>
      </c>
    </row>
    <row r="204" ht="12.75">
      <c r="C204" t="s">
        <v>161</v>
      </c>
    </row>
    <row r="205" ht="12.75">
      <c r="C205" t="s">
        <v>162</v>
      </c>
    </row>
    <row r="206" ht="12.75">
      <c r="C206" t="s">
        <v>132</v>
      </c>
    </row>
    <row r="207" ht="12.75">
      <c r="C207" t="s">
        <v>156</v>
      </c>
    </row>
    <row r="208" ht="12.75">
      <c r="C208" t="s">
        <v>74</v>
      </c>
    </row>
    <row r="209" ht="12.75">
      <c r="C209" t="s">
        <v>163</v>
      </c>
    </row>
    <row r="210" ht="12.75">
      <c r="C210" t="s">
        <v>162</v>
      </c>
    </row>
    <row r="211" ht="12.75">
      <c r="C211" t="s">
        <v>132</v>
      </c>
    </row>
    <row r="212" ht="12.75">
      <c r="C212" t="s">
        <v>156</v>
      </c>
    </row>
    <row r="213" ht="12.75">
      <c r="C213" t="s">
        <v>74</v>
      </c>
    </row>
    <row r="214" ht="12.75">
      <c r="C214" t="s">
        <v>74</v>
      </c>
    </row>
    <row r="215" ht="12.75">
      <c r="C215" t="s">
        <v>164</v>
      </c>
    </row>
    <row r="216" ht="12.75">
      <c r="C216" t="s">
        <v>118</v>
      </c>
    </row>
    <row r="219" ht="12.75">
      <c r="C219" t="s">
        <v>124</v>
      </c>
    </row>
    <row r="221" ht="12.75">
      <c r="C221" t="s">
        <v>124</v>
      </c>
    </row>
  </sheetData>
  <sheetProtection/>
  <dataValidations count="2">
    <dataValidation type="list" allowBlank="1" showInputMessage="1" showErrorMessage="1" sqref="W5">
      <formula1>$B$7:$B$36</formula1>
    </dataValidation>
    <dataValidation type="list" allowBlank="1" showInputMessage="1" showErrorMessage="1" sqref="W6">
      <formula1>$D$6:$Q$6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C2:M18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3.28125" style="211" customWidth="1"/>
    <col min="2" max="2" width="11.57421875" style="0" customWidth="1"/>
    <col min="3" max="3" width="4.7109375" style="210" customWidth="1"/>
    <col min="4" max="4" width="21.7109375" style="0" customWidth="1"/>
  </cols>
  <sheetData>
    <row r="2" spans="3:10" s="211" customFormat="1" ht="12.75">
      <c r="C2" s="210"/>
      <c r="J2" s="221" t="s">
        <v>382</v>
      </c>
    </row>
    <row r="3" spans="3:10" s="211" customFormat="1" ht="12.75">
      <c r="C3" s="224"/>
      <c r="D3" s="225"/>
      <c r="E3" s="225"/>
      <c r="F3" s="225"/>
      <c r="G3" s="225"/>
      <c r="H3" s="225"/>
      <c r="I3" s="225"/>
      <c r="J3" s="228"/>
    </row>
    <row r="4" spans="3:10" ht="15">
      <c r="C4" s="223"/>
      <c r="D4" s="353" t="s">
        <v>329</v>
      </c>
      <c r="E4" s="1"/>
      <c r="F4" s="1"/>
      <c r="G4" s="1"/>
      <c r="H4" s="1"/>
      <c r="I4" s="1"/>
      <c r="J4" s="229"/>
    </row>
    <row r="5" spans="3:10" s="211" customFormat="1" ht="15">
      <c r="C5" s="223"/>
      <c r="D5" s="222"/>
      <c r="E5" s="1"/>
      <c r="F5" s="1"/>
      <c r="G5" s="1"/>
      <c r="H5" s="1"/>
      <c r="I5" s="1"/>
      <c r="J5" s="229"/>
    </row>
    <row r="6" spans="3:10" ht="12.75">
      <c r="C6" s="223">
        <v>1</v>
      </c>
      <c r="D6" t="s">
        <v>379</v>
      </c>
      <c r="E6" s="1" t="s">
        <v>363</v>
      </c>
      <c r="F6" s="1"/>
      <c r="G6" s="1"/>
      <c r="H6" s="1"/>
      <c r="I6" s="1"/>
      <c r="J6" s="229"/>
    </row>
    <row r="7" spans="3:10" s="211" customFormat="1" ht="12.75">
      <c r="C7" s="223"/>
      <c r="E7" s="1"/>
      <c r="F7" s="1"/>
      <c r="G7" s="1"/>
      <c r="H7" s="1"/>
      <c r="I7" s="1"/>
      <c r="J7" s="229"/>
    </row>
    <row r="8" spans="3:11" ht="12.75">
      <c r="C8" s="223">
        <v>2</v>
      </c>
      <c r="D8" s="1" t="s">
        <v>330</v>
      </c>
      <c r="E8" s="186" t="s">
        <v>331</v>
      </c>
      <c r="F8" s="186"/>
      <c r="G8" s="186"/>
      <c r="H8" s="186"/>
      <c r="I8" s="186" t="s">
        <v>392</v>
      </c>
      <c r="J8" s="229"/>
      <c r="K8" s="1"/>
    </row>
    <row r="9" spans="3:11" s="211" customFormat="1" ht="12.75">
      <c r="C9" s="223"/>
      <c r="D9" s="1"/>
      <c r="E9" s="186"/>
      <c r="F9" s="186"/>
      <c r="G9" s="186"/>
      <c r="H9" s="186"/>
      <c r="I9" s="186"/>
      <c r="J9" s="229"/>
      <c r="K9" s="1"/>
    </row>
    <row r="10" spans="3:13" ht="12.75">
      <c r="C10" s="223">
        <v>3</v>
      </c>
      <c r="D10" s="1" t="s">
        <v>380</v>
      </c>
      <c r="E10" s="1" t="s">
        <v>332</v>
      </c>
      <c r="F10" s="1"/>
      <c r="G10" s="1"/>
      <c r="H10" s="1"/>
      <c r="I10" s="186" t="s">
        <v>392</v>
      </c>
      <c r="J10" s="229"/>
      <c r="K10" s="1"/>
      <c r="L10" s="1"/>
      <c r="M10" s="1"/>
    </row>
    <row r="11" spans="3:13" s="211" customFormat="1" ht="12.75">
      <c r="C11" s="223"/>
      <c r="D11" s="1"/>
      <c r="E11" s="1"/>
      <c r="F11" s="1"/>
      <c r="G11" s="1"/>
      <c r="H11" s="1"/>
      <c r="I11" s="1"/>
      <c r="J11" s="229"/>
      <c r="K11" s="1"/>
      <c r="L11" s="1"/>
      <c r="M11" s="1"/>
    </row>
    <row r="12" spans="3:13" ht="12.75">
      <c r="C12" s="223">
        <v>4</v>
      </c>
      <c r="D12" s="1" t="s">
        <v>381</v>
      </c>
      <c r="E12" s="186" t="s">
        <v>333</v>
      </c>
      <c r="F12" s="1"/>
      <c r="G12" s="1"/>
      <c r="H12" s="1"/>
      <c r="I12" s="1"/>
      <c r="J12" s="229"/>
      <c r="K12" s="1"/>
      <c r="L12" s="1"/>
      <c r="M12" s="1"/>
    </row>
    <row r="13" spans="3:13" s="211" customFormat="1" ht="12.75">
      <c r="C13" s="223"/>
      <c r="D13" s="1"/>
      <c r="E13" s="186"/>
      <c r="F13" s="1"/>
      <c r="G13" s="1"/>
      <c r="H13" s="1"/>
      <c r="I13" s="1"/>
      <c r="J13" s="229"/>
      <c r="K13" s="1"/>
      <c r="L13" s="1"/>
      <c r="M13" s="1"/>
    </row>
    <row r="14" spans="3:13" ht="12.75">
      <c r="C14" s="226">
        <v>5</v>
      </c>
      <c r="D14" s="227" t="s">
        <v>326</v>
      </c>
      <c r="E14" s="227" t="s">
        <v>328</v>
      </c>
      <c r="F14" s="227"/>
      <c r="G14" s="227"/>
      <c r="H14" s="227"/>
      <c r="I14" s="227"/>
      <c r="J14" s="230"/>
      <c r="K14" s="1"/>
      <c r="L14" s="1"/>
      <c r="M14" s="1"/>
    </row>
    <row r="15" spans="5:13" ht="12.75">
      <c r="E15" s="1"/>
      <c r="F15" s="1"/>
      <c r="G15" s="1"/>
      <c r="H15" s="1"/>
      <c r="I15" s="1"/>
      <c r="J15" s="1"/>
      <c r="K15" s="1"/>
      <c r="L15" s="1"/>
      <c r="M15" s="1"/>
    </row>
    <row r="16" spans="5:13" ht="12.75">
      <c r="E16" s="1"/>
      <c r="F16" s="1"/>
      <c r="G16" s="1"/>
      <c r="H16" s="1"/>
      <c r="I16" s="1"/>
      <c r="J16" s="1"/>
      <c r="K16" s="1"/>
      <c r="L16" s="1"/>
      <c r="M16" s="1"/>
    </row>
    <row r="17" spans="4:13" ht="12.75">
      <c r="D17" t="s">
        <v>391</v>
      </c>
      <c r="E17" s="1"/>
      <c r="F17" s="1"/>
      <c r="G17" s="1"/>
      <c r="H17" s="1"/>
      <c r="I17" s="1"/>
      <c r="J17" s="1"/>
      <c r="K17" s="1"/>
      <c r="L17" s="1"/>
      <c r="M17" s="1"/>
    </row>
    <row r="18" ht="12.75">
      <c r="D18" s="1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>
    <tabColor theme="3"/>
  </sheetPr>
  <dimension ref="B1:AA105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3.28125" style="211" customWidth="1"/>
    <col min="2" max="2" width="3.7109375" style="211" customWidth="1"/>
    <col min="3" max="3" width="10.8515625" style="211" customWidth="1"/>
    <col min="4" max="4" width="10.7109375" style="211" customWidth="1"/>
    <col min="5" max="5" width="6.7109375" style="211" customWidth="1"/>
    <col min="6" max="6" width="4.7109375" style="1" customWidth="1"/>
    <col min="7" max="9" width="10.8515625" style="211" customWidth="1"/>
    <col min="10" max="10" width="4.28125" style="211" customWidth="1"/>
    <col min="11" max="12" width="10.8515625" style="211" customWidth="1"/>
    <col min="13" max="13" width="8.8515625" style="211" customWidth="1"/>
    <col min="14" max="14" width="5.7109375" style="1" customWidth="1"/>
    <col min="15" max="15" width="7.00390625" style="211" customWidth="1"/>
    <col min="16" max="16" width="12.8515625" style="211" customWidth="1"/>
    <col min="17" max="17" width="8.140625" style="211" customWidth="1"/>
    <col min="18" max="18" width="5.57421875" style="1" customWidth="1"/>
    <col min="19" max="19" width="10.8515625" style="211" customWidth="1"/>
    <col min="20" max="20" width="12.57421875" style="211" customWidth="1"/>
    <col min="21" max="21" width="10.8515625" style="211" customWidth="1"/>
    <col min="22" max="22" width="3.28125" style="211" customWidth="1"/>
    <col min="23" max="23" width="5.28125" style="211" customWidth="1"/>
    <col min="24" max="24" width="4.57421875" style="211" customWidth="1"/>
    <col min="25" max="16384" width="10.8515625" style="211" customWidth="1"/>
  </cols>
  <sheetData>
    <row r="1" ht="13.5" thickBot="1">
      <c r="U1" s="221" t="str">
        <f>Index!J2</f>
        <v>Rev. cjc. 11.07.2016</v>
      </c>
    </row>
    <row r="2" spans="2:22" ht="13.5" thickTop="1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84" t="s">
        <v>356</v>
      </c>
    </row>
    <row r="3" spans="2:22" s="143" customFormat="1" ht="13.5" customHeight="1">
      <c r="B3" s="281"/>
      <c r="C3" s="145" t="s">
        <v>369</v>
      </c>
      <c r="D3" s="186"/>
      <c r="E3" s="186"/>
      <c r="F3" s="186"/>
      <c r="G3" s="186"/>
      <c r="H3" s="186"/>
      <c r="I3" s="145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82"/>
    </row>
    <row r="4" spans="2:23" ht="17.25" customHeight="1">
      <c r="B4" s="250"/>
      <c r="C4" s="1"/>
      <c r="D4" s="1"/>
      <c r="E4" s="1"/>
      <c r="G4" s="1"/>
      <c r="H4" s="1"/>
      <c r="I4" s="1"/>
      <c r="J4" s="1"/>
      <c r="K4" s="1"/>
      <c r="L4" s="1"/>
      <c r="M4" s="1"/>
      <c r="O4" s="1"/>
      <c r="P4" s="1"/>
      <c r="Q4" s="1"/>
      <c r="S4" s="1"/>
      <c r="T4" s="1"/>
      <c r="U4" s="1"/>
      <c r="V4" s="256"/>
      <c r="W4" s="1"/>
    </row>
    <row r="5" spans="2:22" ht="17.25" customHeight="1">
      <c r="B5" s="250"/>
      <c r="C5" s="173" t="s">
        <v>320</v>
      </c>
      <c r="D5" s="233" t="s">
        <v>13</v>
      </c>
      <c r="E5" s="141"/>
      <c r="G5" s="238" t="s">
        <v>334</v>
      </c>
      <c r="H5" s="225"/>
      <c r="I5" s="228"/>
      <c r="J5" s="1"/>
      <c r="K5" s="242" t="s">
        <v>265</v>
      </c>
      <c r="L5" s="225"/>
      <c r="M5" s="228"/>
      <c r="O5" s="238" t="s">
        <v>269</v>
      </c>
      <c r="P5" s="225"/>
      <c r="Q5" s="228"/>
      <c r="S5" s="219" t="s">
        <v>297</v>
      </c>
      <c r="T5" s="1"/>
      <c r="U5" s="1"/>
      <c r="V5" s="256"/>
    </row>
    <row r="6" spans="2:22" ht="17.25" customHeight="1">
      <c r="B6" s="250"/>
      <c r="C6" s="157" t="s">
        <v>172</v>
      </c>
      <c r="D6" s="1"/>
      <c r="E6" s="156"/>
      <c r="G6" s="223" t="s">
        <v>181</v>
      </c>
      <c r="H6" s="233">
        <v>0</v>
      </c>
      <c r="I6" s="229"/>
      <c r="J6" s="1"/>
      <c r="K6" s="237" t="s">
        <v>295</v>
      </c>
      <c r="L6" s="7"/>
      <c r="M6" s="244" t="s">
        <v>0</v>
      </c>
      <c r="O6" s="223" t="s">
        <v>205</v>
      </c>
      <c r="P6" s="7" t="s">
        <v>171</v>
      </c>
      <c r="Q6" s="229"/>
      <c r="S6" s="219" t="s">
        <v>335</v>
      </c>
      <c r="T6" s="1"/>
      <c r="U6" s="1"/>
      <c r="V6" s="256"/>
    </row>
    <row r="7" spans="2:27" ht="17.25" customHeight="1">
      <c r="B7" s="250"/>
      <c r="C7" s="154" t="s">
        <v>20</v>
      </c>
      <c r="D7" s="233">
        <v>10</v>
      </c>
      <c r="E7" s="156" t="s">
        <v>6</v>
      </c>
      <c r="G7" s="271" t="s">
        <v>182</v>
      </c>
      <c r="H7" s="233">
        <v>0</v>
      </c>
      <c r="I7" s="230"/>
      <c r="J7" s="1"/>
      <c r="K7" s="223" t="s">
        <v>20</v>
      </c>
      <c r="L7" s="7">
        <f>D7</f>
        <v>10</v>
      </c>
      <c r="M7" s="229" t="s">
        <v>6</v>
      </c>
      <c r="O7" s="223" t="s">
        <v>1</v>
      </c>
      <c r="P7" s="24">
        <f>H12</f>
        <v>0.06252448343568125</v>
      </c>
      <c r="Q7" s="229" t="s">
        <v>177</v>
      </c>
      <c r="S7" s="219" t="s">
        <v>336</v>
      </c>
      <c r="T7" s="1"/>
      <c r="U7" s="1"/>
      <c r="V7" s="256"/>
      <c r="AA7" s="1"/>
    </row>
    <row r="8" spans="2:27" ht="17.25" customHeight="1">
      <c r="B8" s="250"/>
      <c r="C8" s="157" t="s">
        <v>257</v>
      </c>
      <c r="D8" s="1"/>
      <c r="E8" s="156"/>
      <c r="G8" s="1"/>
      <c r="H8" s="1"/>
      <c r="I8" s="1"/>
      <c r="J8" s="1"/>
      <c r="K8" s="223" t="s">
        <v>250</v>
      </c>
      <c r="L8" s="207" t="s">
        <v>253</v>
      </c>
      <c r="M8" s="229"/>
      <c r="O8" s="223" t="s">
        <v>25</v>
      </c>
      <c r="P8" s="23">
        <f>H17</f>
        <v>0.00046376976150455933</v>
      </c>
      <c r="Q8" s="229" t="s">
        <v>26</v>
      </c>
      <c r="S8" s="219" t="s">
        <v>337</v>
      </c>
      <c r="T8" s="1"/>
      <c r="U8" s="1"/>
      <c r="V8" s="256"/>
      <c r="AA8" s="1"/>
    </row>
    <row r="9" spans="2:22" ht="17.25" customHeight="1">
      <c r="B9" s="250"/>
      <c r="C9" s="154" t="s">
        <v>22</v>
      </c>
      <c r="D9" s="233">
        <v>1.4</v>
      </c>
      <c r="E9" s="156" t="s">
        <v>10</v>
      </c>
      <c r="G9" s="293" t="s">
        <v>263</v>
      </c>
      <c r="H9" s="225"/>
      <c r="I9" s="228"/>
      <c r="J9" s="1"/>
      <c r="K9" s="223" t="s">
        <v>250</v>
      </c>
      <c r="L9" s="212">
        <f>AirAbsoluteViscosity_t(L7)</f>
        <v>1.7617499906918965E-05</v>
      </c>
      <c r="M9" s="245" t="s">
        <v>37</v>
      </c>
      <c r="O9" s="271" t="s">
        <v>205</v>
      </c>
      <c r="P9" s="348">
        <f>P7/P8</f>
        <v>134.81793904121662</v>
      </c>
      <c r="Q9" s="230" t="s">
        <v>18</v>
      </c>
      <c r="S9" s="219" t="s">
        <v>338</v>
      </c>
      <c r="T9" s="1"/>
      <c r="U9" s="1"/>
      <c r="V9" s="256"/>
    </row>
    <row r="10" spans="2:22" ht="17.25" customHeight="1">
      <c r="B10" s="250"/>
      <c r="C10" s="188" t="s">
        <v>258</v>
      </c>
      <c r="D10" s="1"/>
      <c r="E10" s="156"/>
      <c r="G10" s="237" t="s">
        <v>389</v>
      </c>
      <c r="H10" s="1"/>
      <c r="I10" s="229"/>
      <c r="J10" s="1"/>
      <c r="K10" s="241"/>
      <c r="L10" s="1"/>
      <c r="M10" s="229"/>
      <c r="O10" s="1"/>
      <c r="P10" s="1"/>
      <c r="Q10" s="1"/>
      <c r="S10" s="219" t="s">
        <v>364</v>
      </c>
      <c r="T10" s="1"/>
      <c r="U10" s="1"/>
      <c r="V10" s="256"/>
    </row>
    <row r="11" spans="2:22" ht="17.25" customHeight="1">
      <c r="B11" s="250"/>
      <c r="C11" s="182" t="s">
        <v>196</v>
      </c>
      <c r="D11" s="233">
        <v>287</v>
      </c>
      <c r="E11" s="190" t="s">
        <v>197</v>
      </c>
      <c r="G11" s="263" t="s">
        <v>264</v>
      </c>
      <c r="H11" s="346">
        <v>225.08814036845249</v>
      </c>
      <c r="I11" s="229" t="s">
        <v>175</v>
      </c>
      <c r="J11" s="1"/>
      <c r="K11" s="241" t="s">
        <v>266</v>
      </c>
      <c r="L11" s="1"/>
      <c r="M11" s="229"/>
      <c r="O11" s="247" t="s">
        <v>270</v>
      </c>
      <c r="P11" s="225"/>
      <c r="Q11" s="228"/>
      <c r="S11" s="219" t="s">
        <v>365</v>
      </c>
      <c r="T11" s="1"/>
      <c r="U11" s="1"/>
      <c r="V11" s="256"/>
    </row>
    <row r="12" spans="2:22" ht="17.25" customHeight="1">
      <c r="B12" s="250"/>
      <c r="C12" s="157" t="s">
        <v>259</v>
      </c>
      <c r="D12" s="1"/>
      <c r="E12" s="156"/>
      <c r="G12" s="294" t="s">
        <v>264</v>
      </c>
      <c r="H12" s="295">
        <f>H11/3600</f>
        <v>0.06252448343568125</v>
      </c>
      <c r="I12" s="230" t="s">
        <v>177</v>
      </c>
      <c r="J12" s="1"/>
      <c r="K12" s="223" t="s">
        <v>203</v>
      </c>
      <c r="L12" s="1" t="s">
        <v>206</v>
      </c>
      <c r="M12" s="229" t="s">
        <v>0</v>
      </c>
      <c r="O12" s="223" t="s">
        <v>19</v>
      </c>
      <c r="P12" s="1" t="s">
        <v>186</v>
      </c>
      <c r="Q12" s="229"/>
      <c r="S12" s="1"/>
      <c r="T12" s="1"/>
      <c r="U12" s="1"/>
      <c r="V12" s="256"/>
    </row>
    <row r="13" spans="2:22" ht="17.25" customHeight="1">
      <c r="B13" s="250"/>
      <c r="C13" s="154" t="s">
        <v>191</v>
      </c>
      <c r="D13" s="234">
        <v>170263</v>
      </c>
      <c r="E13" s="156" t="s">
        <v>168</v>
      </c>
      <c r="G13" s="1"/>
      <c r="H13" s="1"/>
      <c r="I13" s="1"/>
      <c r="J13" s="1"/>
      <c r="K13" s="223" t="s">
        <v>204</v>
      </c>
      <c r="L13" s="26">
        <f>D13</f>
        <v>170263</v>
      </c>
      <c r="M13" s="229" t="s">
        <v>168</v>
      </c>
      <c r="O13" s="223" t="s">
        <v>12</v>
      </c>
      <c r="P13" s="349">
        <f>P9</f>
        <v>134.81793904121662</v>
      </c>
      <c r="Q13" s="229" t="s">
        <v>18</v>
      </c>
      <c r="S13" s="219" t="s">
        <v>343</v>
      </c>
      <c r="T13" s="1"/>
      <c r="U13" s="1"/>
      <c r="V13" s="256"/>
    </row>
    <row r="14" spans="2:22" ht="17.25" customHeight="1">
      <c r="B14" s="250"/>
      <c r="C14" s="157" t="s">
        <v>260</v>
      </c>
      <c r="D14" s="1"/>
      <c r="E14" s="156"/>
      <c r="G14" s="238" t="s">
        <v>344</v>
      </c>
      <c r="H14" s="239"/>
      <c r="I14" s="228"/>
      <c r="J14" s="1"/>
      <c r="K14" s="223" t="s">
        <v>196</v>
      </c>
      <c r="L14" s="7">
        <f>D11</f>
        <v>287</v>
      </c>
      <c r="M14" s="229" t="s">
        <v>197</v>
      </c>
      <c r="O14" s="223" t="s">
        <v>189</v>
      </c>
      <c r="P14" s="7">
        <f>D22</f>
        <v>0.024300000000000002</v>
      </c>
      <c r="Q14" s="229" t="s">
        <v>5</v>
      </c>
      <c r="S14" s="219" t="s">
        <v>339</v>
      </c>
      <c r="T14" s="1"/>
      <c r="U14" s="1"/>
      <c r="V14" s="256"/>
    </row>
    <row r="15" spans="2:26" ht="17.25" customHeight="1">
      <c r="B15" s="250"/>
      <c r="C15" s="154" t="s">
        <v>188</v>
      </c>
      <c r="D15" s="234">
        <f>D13-D17</f>
        <v>68938</v>
      </c>
      <c r="E15" s="156" t="s">
        <v>168</v>
      </c>
      <c r="G15" s="223" t="s">
        <v>25</v>
      </c>
      <c r="H15" s="1" t="s">
        <v>383</v>
      </c>
      <c r="I15" s="229"/>
      <c r="J15" s="1"/>
      <c r="K15" s="223" t="s">
        <v>167</v>
      </c>
      <c r="L15" s="7">
        <f>273.15+D7</f>
        <v>283.15</v>
      </c>
      <c r="M15" s="229" t="s">
        <v>7</v>
      </c>
      <c r="O15" s="223" t="s">
        <v>187</v>
      </c>
      <c r="P15" s="166">
        <f>L22</f>
        <v>8.408576104678397E-06</v>
      </c>
      <c r="Q15" s="245" t="s">
        <v>27</v>
      </c>
      <c r="S15" s="219" t="s">
        <v>340</v>
      </c>
      <c r="T15" s="1"/>
      <c r="U15" s="1"/>
      <c r="V15" s="256"/>
      <c r="X15" s="7"/>
      <c r="Y15" s="166"/>
      <c r="Z15" s="34"/>
    </row>
    <row r="16" spans="2:22" ht="17.25" customHeight="1">
      <c r="B16" s="250"/>
      <c r="C16" s="157" t="s">
        <v>261</v>
      </c>
      <c r="D16" s="1"/>
      <c r="E16" s="156"/>
      <c r="G16" s="223" t="s">
        <v>189</v>
      </c>
      <c r="H16" s="7">
        <f>D22</f>
        <v>0.024300000000000002</v>
      </c>
      <c r="I16" s="229" t="s">
        <v>26</v>
      </c>
      <c r="J16" s="1"/>
      <c r="K16" s="223" t="s">
        <v>203</v>
      </c>
      <c r="L16" s="270">
        <f>L13/(L14*L15)</f>
        <v>2.0951823100128535</v>
      </c>
      <c r="M16" s="229" t="s">
        <v>194</v>
      </c>
      <c r="O16" s="271" t="s">
        <v>19</v>
      </c>
      <c r="P16" s="248">
        <f>P13*P14/P15</f>
        <v>389611.25854338263</v>
      </c>
      <c r="Q16" s="230"/>
      <c r="S16" s="219" t="s">
        <v>341</v>
      </c>
      <c r="T16" s="1"/>
      <c r="U16" s="1"/>
      <c r="V16" s="256"/>
    </row>
    <row r="17" spans="2:22" ht="17.25" customHeight="1">
      <c r="B17" s="250"/>
      <c r="C17" s="154" t="s">
        <v>202</v>
      </c>
      <c r="D17" s="234">
        <v>101325</v>
      </c>
      <c r="E17" s="156" t="s">
        <v>168</v>
      </c>
      <c r="G17" s="280" t="s">
        <v>25</v>
      </c>
      <c r="H17" s="347">
        <f>(PI()/4)*H16^2</f>
        <v>0.00046376976150455933</v>
      </c>
      <c r="I17" s="230" t="s">
        <v>26</v>
      </c>
      <c r="J17" s="1"/>
      <c r="K17" s="241"/>
      <c r="L17" s="1"/>
      <c r="M17" s="229"/>
      <c r="O17" s="1"/>
      <c r="P17" s="1"/>
      <c r="Q17" s="1"/>
      <c r="S17" s="219" t="s">
        <v>342</v>
      </c>
      <c r="T17" s="1"/>
      <c r="U17" s="1"/>
      <c r="V17" s="256"/>
    </row>
    <row r="18" spans="2:22" ht="17.25" customHeight="1">
      <c r="B18" s="250"/>
      <c r="C18" s="157" t="s">
        <v>262</v>
      </c>
      <c r="D18" s="1"/>
      <c r="E18" s="156"/>
      <c r="G18" s="1"/>
      <c r="H18" s="1"/>
      <c r="I18" s="1"/>
      <c r="J18" s="1"/>
      <c r="K18" s="237" t="s">
        <v>268</v>
      </c>
      <c r="L18" s="1"/>
      <c r="M18" s="229"/>
      <c r="O18" s="247" t="s">
        <v>274</v>
      </c>
      <c r="P18" s="225"/>
      <c r="Q18" s="228"/>
      <c r="S18" s="1"/>
      <c r="T18" s="1"/>
      <c r="U18" s="1"/>
      <c r="V18" s="256"/>
    </row>
    <row r="19" spans="2:22" ht="17.25" customHeight="1">
      <c r="B19" s="250"/>
      <c r="C19" s="154" t="s">
        <v>190</v>
      </c>
      <c r="D19" s="235">
        <v>600</v>
      </c>
      <c r="E19" s="156" t="s">
        <v>3</v>
      </c>
      <c r="G19" s="1"/>
      <c r="H19" s="1"/>
      <c r="I19" s="1"/>
      <c r="J19" s="1"/>
      <c r="K19" s="223" t="s">
        <v>187</v>
      </c>
      <c r="L19" s="7" t="s">
        <v>251</v>
      </c>
      <c r="M19" s="229" t="s">
        <v>0</v>
      </c>
      <c r="O19" s="223" t="s">
        <v>208</v>
      </c>
      <c r="P19" s="7" t="s">
        <v>207</v>
      </c>
      <c r="Q19" s="229"/>
      <c r="S19" s="1"/>
      <c r="T19" s="1"/>
      <c r="U19" s="1"/>
      <c r="V19" s="256"/>
    </row>
    <row r="20" spans="2:22" ht="17.25" customHeight="1">
      <c r="B20" s="250"/>
      <c r="C20" s="173" t="s">
        <v>324</v>
      </c>
      <c r="D20" s="155"/>
      <c r="E20" s="141"/>
      <c r="G20" s="1"/>
      <c r="H20" s="1"/>
      <c r="I20" s="1"/>
      <c r="J20" s="1"/>
      <c r="K20" s="223" t="s">
        <v>250</v>
      </c>
      <c r="L20" s="166">
        <f>L9</f>
        <v>1.7617499906918965E-05</v>
      </c>
      <c r="M20" s="245" t="s">
        <v>37</v>
      </c>
      <c r="O20" s="223" t="s">
        <v>189</v>
      </c>
      <c r="P20" s="164">
        <f>D21</f>
        <v>24.3</v>
      </c>
      <c r="Q20" s="229" t="s">
        <v>3</v>
      </c>
      <c r="S20" s="1"/>
      <c r="T20" s="8"/>
      <c r="U20" s="1"/>
      <c r="V20" s="256"/>
    </row>
    <row r="21" spans="2:22" ht="17.25" customHeight="1">
      <c r="B21" s="250"/>
      <c r="C21" s="154" t="s">
        <v>189</v>
      </c>
      <c r="D21" s="233">
        <v>24.3</v>
      </c>
      <c r="E21" s="156" t="s">
        <v>3</v>
      </c>
      <c r="G21" s="1"/>
      <c r="H21" s="1"/>
      <c r="I21" s="1"/>
      <c r="J21" s="1"/>
      <c r="K21" s="223" t="s">
        <v>203</v>
      </c>
      <c r="L21" s="16">
        <f>L16</f>
        <v>2.0951823100128535</v>
      </c>
      <c r="M21" s="229" t="s">
        <v>194</v>
      </c>
      <c r="O21" s="223" t="s">
        <v>190</v>
      </c>
      <c r="P21" s="163">
        <f>D19</f>
        <v>600</v>
      </c>
      <c r="Q21" s="229" t="s">
        <v>3</v>
      </c>
      <c r="S21" s="1"/>
      <c r="T21" s="216"/>
      <c r="U21" s="1"/>
      <c r="V21" s="256"/>
    </row>
    <row r="22" spans="2:22" ht="17.25" customHeight="1">
      <c r="B22" s="250"/>
      <c r="C22" s="231" t="s">
        <v>189</v>
      </c>
      <c r="D22" s="232">
        <f>D21/1000</f>
        <v>0.024300000000000002</v>
      </c>
      <c r="E22" s="181" t="s">
        <v>5</v>
      </c>
      <c r="G22" s="1"/>
      <c r="H22" s="1"/>
      <c r="I22" s="1"/>
      <c r="J22" s="1"/>
      <c r="K22" s="271" t="s">
        <v>187</v>
      </c>
      <c r="L22" s="243">
        <f>L20/L21</f>
        <v>8.408576104678397E-06</v>
      </c>
      <c r="M22" s="246" t="s">
        <v>27</v>
      </c>
      <c r="O22" s="271" t="s">
        <v>208</v>
      </c>
      <c r="P22" s="249">
        <f>P20/P21</f>
        <v>0.0405</v>
      </c>
      <c r="Q22" s="230" t="s">
        <v>10</v>
      </c>
      <c r="S22" s="1"/>
      <c r="T22" s="1"/>
      <c r="U22" s="1"/>
      <c r="V22" s="256"/>
    </row>
    <row r="23" spans="2:22" ht="17.25" customHeight="1">
      <c r="B23" s="250"/>
      <c r="C23" s="1"/>
      <c r="D23" s="1"/>
      <c r="E23" s="1"/>
      <c r="G23" s="1"/>
      <c r="H23" s="1"/>
      <c r="I23" s="1"/>
      <c r="J23" s="1"/>
      <c r="K23" s="1"/>
      <c r="L23" s="1"/>
      <c r="M23" s="1"/>
      <c r="O23" s="1"/>
      <c r="P23" s="1"/>
      <c r="Q23" s="1"/>
      <c r="S23" s="1"/>
      <c r="T23" s="1"/>
      <c r="U23" s="1"/>
      <c r="V23" s="256"/>
    </row>
    <row r="24" spans="2:22" ht="17.25" customHeight="1">
      <c r="B24" s="250"/>
      <c r="C24" s="1"/>
      <c r="D24" s="1"/>
      <c r="E24" s="1"/>
      <c r="G24" s="1"/>
      <c r="H24" s="1"/>
      <c r="I24" s="1"/>
      <c r="J24" s="1"/>
      <c r="K24" s="1"/>
      <c r="L24" s="1"/>
      <c r="M24" s="1"/>
      <c r="O24" s="1"/>
      <c r="P24" s="1"/>
      <c r="Q24" s="1"/>
      <c r="S24" s="1"/>
      <c r="T24" s="1"/>
      <c r="U24" s="1"/>
      <c r="V24" s="256"/>
    </row>
    <row r="25" spans="2:22" ht="17.25" customHeight="1" thickBot="1">
      <c r="B25" s="253"/>
      <c r="C25" s="254" t="s">
        <v>0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7"/>
    </row>
    <row r="26" spans="6:18" ht="13.5" thickTop="1">
      <c r="F26" s="211"/>
      <c r="N26" s="211"/>
      <c r="R26" s="211"/>
    </row>
    <row r="27" spans="6:18" ht="12.75">
      <c r="F27" s="211"/>
      <c r="N27" s="211"/>
      <c r="R27" s="211"/>
    </row>
    <row r="28" spans="6:18" ht="13.5" thickBot="1">
      <c r="F28" s="211"/>
      <c r="N28" s="211"/>
      <c r="R28" s="211"/>
    </row>
    <row r="29" spans="2:22" ht="13.5" thickTop="1"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84" t="s">
        <v>355</v>
      </c>
    </row>
    <row r="30" spans="2:22" ht="12.75">
      <c r="B30" s="250"/>
      <c r="C30" s="1"/>
      <c r="D30" s="1"/>
      <c r="E30" s="1"/>
      <c r="G30" s="1"/>
      <c r="H30" s="1"/>
      <c r="I30" s="1"/>
      <c r="J30" s="1"/>
      <c r="K30" s="1"/>
      <c r="L30" s="1"/>
      <c r="M30" s="1"/>
      <c r="O30" s="1"/>
      <c r="P30" s="1"/>
      <c r="Q30" s="1"/>
      <c r="S30" s="1"/>
      <c r="T30" s="1"/>
      <c r="U30" s="1"/>
      <c r="V30" s="256"/>
    </row>
    <row r="31" spans="2:22" ht="12.75">
      <c r="B31" s="250"/>
      <c r="C31" s="238" t="s">
        <v>271</v>
      </c>
      <c r="D31" s="225"/>
      <c r="E31" s="228"/>
      <c r="G31" s="272" t="s">
        <v>351</v>
      </c>
      <c r="H31" s="1"/>
      <c r="I31" s="1"/>
      <c r="J31" s="1"/>
      <c r="K31" s="1"/>
      <c r="L31" s="1"/>
      <c r="M31" s="1"/>
      <c r="O31" s="1"/>
      <c r="P31" s="1"/>
      <c r="Q31" s="1"/>
      <c r="S31" s="1"/>
      <c r="T31" s="1"/>
      <c r="U31" s="1"/>
      <c r="V31" s="256"/>
    </row>
    <row r="32" spans="2:22" ht="12.75">
      <c r="B32" s="250"/>
      <c r="C32" s="258" t="s">
        <v>209</v>
      </c>
      <c r="D32" s="1"/>
      <c r="E32" s="229"/>
      <c r="G32" s="1"/>
      <c r="H32" s="1"/>
      <c r="I32" s="1"/>
      <c r="J32" s="1"/>
      <c r="K32" s="1"/>
      <c r="L32" s="1"/>
      <c r="M32" s="1"/>
      <c r="O32" s="1"/>
      <c r="P32" s="1"/>
      <c r="Q32" s="1"/>
      <c r="S32" s="1"/>
      <c r="T32" s="1"/>
      <c r="U32" s="1"/>
      <c r="V32" s="256"/>
    </row>
    <row r="33" spans="2:22" ht="12.75">
      <c r="B33" s="250"/>
      <c r="C33" s="223" t="s">
        <v>208</v>
      </c>
      <c r="D33" s="15">
        <f>P22</f>
        <v>0.0405</v>
      </c>
      <c r="E33" s="229" t="s">
        <v>10</v>
      </c>
      <c r="G33" s="1"/>
      <c r="H33" s="1"/>
      <c r="I33" s="1"/>
      <c r="J33" s="1"/>
      <c r="K33" s="242" t="s">
        <v>349</v>
      </c>
      <c r="L33" s="225"/>
      <c r="M33" s="228"/>
      <c r="O33" s="1"/>
      <c r="S33" s="1"/>
      <c r="T33" s="1"/>
      <c r="U33" s="1"/>
      <c r="V33" s="256"/>
    </row>
    <row r="34" spans="2:22" ht="15.75">
      <c r="B34" s="250"/>
      <c r="C34" s="223" t="s">
        <v>188</v>
      </c>
      <c r="D34" s="165">
        <f>D15</f>
        <v>68938</v>
      </c>
      <c r="E34" s="229" t="s">
        <v>168</v>
      </c>
      <c r="G34" s="1"/>
      <c r="H34" s="1"/>
      <c r="I34" s="1"/>
      <c r="J34" s="1"/>
      <c r="K34" s="223" t="s">
        <v>348</v>
      </c>
      <c r="L34" s="140" t="s">
        <v>347</v>
      </c>
      <c r="M34" s="229"/>
      <c r="O34" s="1"/>
      <c r="S34" s="1"/>
      <c r="T34" s="1"/>
      <c r="U34" s="1"/>
      <c r="V34" s="256"/>
    </row>
    <row r="35" spans="2:22" ht="15.75">
      <c r="B35" s="250"/>
      <c r="C35" s="223" t="s">
        <v>22</v>
      </c>
      <c r="D35" s="7">
        <f>D9</f>
        <v>1.4</v>
      </c>
      <c r="E35" s="229" t="s">
        <v>10</v>
      </c>
      <c r="G35" s="1"/>
      <c r="H35" s="1"/>
      <c r="I35" s="1"/>
      <c r="J35" s="1"/>
      <c r="K35" s="263" t="s">
        <v>264</v>
      </c>
      <c r="L35" s="15">
        <f>H11</f>
        <v>225.08814036845249</v>
      </c>
      <c r="M35" s="265" t="s">
        <v>175</v>
      </c>
      <c r="O35" s="1"/>
      <c r="S35" s="1"/>
      <c r="T35" s="1"/>
      <c r="U35" s="1"/>
      <c r="V35" s="256"/>
    </row>
    <row r="36" spans="2:22" ht="15">
      <c r="B36" s="250"/>
      <c r="C36" s="223" t="s">
        <v>191</v>
      </c>
      <c r="D36" s="165">
        <f>D13</f>
        <v>170263</v>
      </c>
      <c r="E36" s="229" t="s">
        <v>168</v>
      </c>
      <c r="G36" s="1"/>
      <c r="H36" s="1"/>
      <c r="I36" s="1"/>
      <c r="J36" s="1"/>
      <c r="K36" s="223" t="s">
        <v>346</v>
      </c>
      <c r="L36" s="15">
        <f>H45</f>
        <v>225.088140535645</v>
      </c>
      <c r="M36" s="265" t="s">
        <v>175</v>
      </c>
      <c r="O36" s="1"/>
      <c r="S36" s="1"/>
      <c r="T36" s="1"/>
      <c r="U36" s="1"/>
      <c r="V36" s="256"/>
    </row>
    <row r="37" spans="2:22" ht="15">
      <c r="B37" s="250"/>
      <c r="C37" s="271" t="s">
        <v>184</v>
      </c>
      <c r="D37" s="259">
        <f>1-(0.41+0.35*D33^4)*(D34/(D35*D36))</f>
        <v>0.881424431131072</v>
      </c>
      <c r="E37" s="260" t="s">
        <v>10</v>
      </c>
      <c r="G37" s="224" t="s">
        <v>346</v>
      </c>
      <c r="H37" s="264" t="s">
        <v>386</v>
      </c>
      <c r="I37" s="228"/>
      <c r="J37" s="1"/>
      <c r="K37" s="223" t="s">
        <v>348</v>
      </c>
      <c r="L37" s="266">
        <f>L35-L36</f>
        <v>-1.6719252471375512E-07</v>
      </c>
      <c r="M37" s="265" t="s">
        <v>175</v>
      </c>
      <c r="O37" s="1"/>
      <c r="T37" s="1"/>
      <c r="U37" s="1"/>
      <c r="V37" s="256"/>
    </row>
    <row r="38" spans="2:22" ht="12.75">
      <c r="B38" s="250"/>
      <c r="C38" s="1"/>
      <c r="D38" s="1"/>
      <c r="E38" s="1"/>
      <c r="G38" s="223" t="s">
        <v>173</v>
      </c>
      <c r="H38" s="15">
        <f>D45</f>
        <v>0.5962502683610623</v>
      </c>
      <c r="I38" s="229" t="s">
        <v>10</v>
      </c>
      <c r="J38" s="1"/>
      <c r="K38" s="241"/>
      <c r="L38" s="214" t="s">
        <v>0</v>
      </c>
      <c r="M38" s="229"/>
      <c r="O38" s="1"/>
      <c r="T38" s="1"/>
      <c r="U38" s="1"/>
      <c r="V38" s="256"/>
    </row>
    <row r="39" spans="2:22" ht="12.75">
      <c r="B39" s="250"/>
      <c r="C39" s="238" t="s">
        <v>272</v>
      </c>
      <c r="D39" s="225"/>
      <c r="E39" s="228"/>
      <c r="G39" s="223" t="s">
        <v>184</v>
      </c>
      <c r="H39" s="15">
        <f>D37</f>
        <v>0.881424431131072</v>
      </c>
      <c r="I39" s="229" t="s">
        <v>10</v>
      </c>
      <c r="J39" s="1"/>
      <c r="K39" s="241"/>
      <c r="L39" s="1"/>
      <c r="M39" s="229"/>
      <c r="O39" s="1"/>
      <c r="S39" s="140"/>
      <c r="T39" s="179"/>
      <c r="U39" s="8"/>
      <c r="V39" s="256"/>
    </row>
    <row r="40" spans="2:22" ht="12.75">
      <c r="B40" s="250"/>
      <c r="C40" s="261" t="s">
        <v>350</v>
      </c>
      <c r="D40" s="1"/>
      <c r="E40" s="229"/>
      <c r="G40" s="223" t="s">
        <v>192</v>
      </c>
      <c r="H40" s="17">
        <f>D50</f>
        <v>1.0000013452127456</v>
      </c>
      <c r="I40" s="229" t="s">
        <v>10</v>
      </c>
      <c r="J40" s="1"/>
      <c r="K40" s="340" t="str">
        <f>IF(ABS(L37)&lt;0.0001,"Iteration finished","Click in Calculate for iteration")</f>
        <v>Iteration finished</v>
      </c>
      <c r="L40" s="341"/>
      <c r="M40" s="342"/>
      <c r="O40" s="1"/>
      <c r="P40" s="1"/>
      <c r="Q40" s="1"/>
      <c r="S40" s="1"/>
      <c r="T40" s="1"/>
      <c r="U40" s="1"/>
      <c r="V40" s="256"/>
    </row>
    <row r="41" spans="2:22" ht="12.75">
      <c r="B41" s="250"/>
      <c r="C41" s="223" t="s">
        <v>181</v>
      </c>
      <c r="D41" s="140">
        <f>H6</f>
        <v>0</v>
      </c>
      <c r="E41" s="229" t="s">
        <v>10</v>
      </c>
      <c r="G41" s="223" t="s">
        <v>25</v>
      </c>
      <c r="H41" s="23">
        <f>H17</f>
        <v>0.00046376976150455933</v>
      </c>
      <c r="I41" s="229" t="s">
        <v>26</v>
      </c>
      <c r="J41" s="1"/>
      <c r="K41" s="219" t="s">
        <v>0</v>
      </c>
      <c r="L41" s="1"/>
      <c r="M41" s="1"/>
      <c r="O41" s="1"/>
      <c r="P41" s="1"/>
      <c r="Q41" s="1"/>
      <c r="S41" s="1"/>
      <c r="T41" s="1"/>
      <c r="U41" s="1"/>
      <c r="V41" s="256"/>
    </row>
    <row r="42" spans="2:22" ht="13.5" thickBot="1">
      <c r="B42" s="250"/>
      <c r="C42" s="223" t="s">
        <v>182</v>
      </c>
      <c r="D42" s="140">
        <f>H7</f>
        <v>0</v>
      </c>
      <c r="E42" s="229" t="s">
        <v>10</v>
      </c>
      <c r="G42" s="223" t="s">
        <v>188</v>
      </c>
      <c r="H42" s="165">
        <f>D15</f>
        <v>68938</v>
      </c>
      <c r="I42" s="229" t="s">
        <v>168</v>
      </c>
      <c r="J42" s="1"/>
      <c r="K42" s="1"/>
      <c r="L42" s="1"/>
      <c r="M42" s="1"/>
      <c r="O42" s="1"/>
      <c r="P42" s="1"/>
      <c r="Q42" s="1"/>
      <c r="S42" s="1"/>
      <c r="T42" s="1"/>
      <c r="U42" s="1"/>
      <c r="V42" s="256"/>
    </row>
    <row r="43" spans="2:22" ht="15.75" thickTop="1">
      <c r="B43" s="250"/>
      <c r="C43" s="223" t="s">
        <v>183</v>
      </c>
      <c r="D43" s="146">
        <f>P16</f>
        <v>389611.25854338263</v>
      </c>
      <c r="E43" s="229" t="s">
        <v>10</v>
      </c>
      <c r="G43" s="223" t="s">
        <v>203</v>
      </c>
      <c r="H43" s="22">
        <f>L16</f>
        <v>2.0951823100128535</v>
      </c>
      <c r="I43" s="245" t="s">
        <v>194</v>
      </c>
      <c r="J43" s="1"/>
      <c r="K43" s="275" t="s">
        <v>387</v>
      </c>
      <c r="L43" s="267"/>
      <c r="M43" s="277"/>
      <c r="O43" s="1"/>
      <c r="P43" s="1"/>
      <c r="Q43" s="1"/>
      <c r="S43" s="1"/>
      <c r="T43" s="1"/>
      <c r="U43" s="1"/>
      <c r="V43" s="256"/>
    </row>
    <row r="44" spans="2:22" ht="12.75">
      <c r="B44" s="250"/>
      <c r="C44" s="223" t="s">
        <v>184</v>
      </c>
      <c r="D44" s="159">
        <f>D37</f>
        <v>0.881424431131072</v>
      </c>
      <c r="E44" s="229" t="s">
        <v>10</v>
      </c>
      <c r="G44" s="263" t="s">
        <v>1</v>
      </c>
      <c r="H44" s="159">
        <f>H38*H39*H40*H41*(2*H42/H43)^0.5</f>
        <v>0.06252448348212361</v>
      </c>
      <c r="I44" s="265" t="s">
        <v>177</v>
      </c>
      <c r="J44" s="1"/>
      <c r="K44" s="274" t="s">
        <v>353</v>
      </c>
      <c r="L44" s="1"/>
      <c r="M44" s="278"/>
      <c r="O44" s="1"/>
      <c r="P44" s="1"/>
      <c r="Q44" s="1"/>
      <c r="S44" s="1"/>
      <c r="T44" s="1"/>
      <c r="U44" s="1"/>
      <c r="V44" s="256"/>
    </row>
    <row r="45" spans="2:22" ht="15.75" thickBot="1">
      <c r="B45" s="250"/>
      <c r="C45" s="271" t="s">
        <v>173</v>
      </c>
      <c r="D45" s="262">
        <f>0.5961+0.0261*P22^2-0.216*P22^8+0.000521*(P22*1000000/D43)^0.7+(0.0188+0.0063*(19000*P22/D43)^0.8)*(1000000/D43)*P22^3.5+(0.043+0.08*D44*(-7*D41))*(1-0.11)*(19000*P22/D43)^0.8*(P22^4/(1-P22^4))-0.031*((2*D42/(1-P22))-0.8*(2*D42/(1-P22))^1.1)*P22^1.3</f>
        <v>0.5962502683610623</v>
      </c>
      <c r="E45" s="230"/>
      <c r="G45" s="271" t="s">
        <v>346</v>
      </c>
      <c r="H45" s="350">
        <f>H44*3600</f>
        <v>225.088140535645</v>
      </c>
      <c r="I45" s="260" t="s">
        <v>175</v>
      </c>
      <c r="J45" s="1"/>
      <c r="K45" s="276" t="s">
        <v>1</v>
      </c>
      <c r="L45" s="351">
        <f>IF(ABS(L37)&lt;0.001,L36,"")</f>
        <v>225.088140535645</v>
      </c>
      <c r="M45" s="279" t="s">
        <v>175</v>
      </c>
      <c r="O45" s="1"/>
      <c r="P45" s="1"/>
      <c r="Q45" s="1"/>
      <c r="S45" s="1"/>
      <c r="T45" s="1"/>
      <c r="U45" s="1"/>
      <c r="V45" s="256"/>
    </row>
    <row r="46" spans="2:22" ht="13.5" thickTop="1">
      <c r="B46" s="250"/>
      <c r="C46" s="1"/>
      <c r="D46" s="1"/>
      <c r="E46" s="1"/>
      <c r="G46" s="1"/>
      <c r="H46" s="1"/>
      <c r="I46" s="1"/>
      <c r="J46" s="1"/>
      <c r="K46" s="1"/>
      <c r="L46" s="1"/>
      <c r="M46" s="1"/>
      <c r="O46" s="1"/>
      <c r="P46" s="1"/>
      <c r="Q46" s="1"/>
      <c r="S46" s="1"/>
      <c r="T46" s="1"/>
      <c r="U46" s="1"/>
      <c r="V46" s="256"/>
    </row>
    <row r="47" spans="2:22" ht="12.75">
      <c r="B47" s="250"/>
      <c r="C47" s="238" t="s">
        <v>273</v>
      </c>
      <c r="D47" s="225"/>
      <c r="E47" s="228"/>
      <c r="G47" s="1"/>
      <c r="H47" s="1"/>
      <c r="I47" s="1"/>
      <c r="J47" s="1"/>
      <c r="K47" s="1"/>
      <c r="L47" s="1"/>
      <c r="M47" s="1"/>
      <c r="O47" s="1"/>
      <c r="P47" s="1"/>
      <c r="Q47" s="1"/>
      <c r="S47" s="1"/>
      <c r="T47" s="1"/>
      <c r="U47" s="1"/>
      <c r="V47" s="256"/>
    </row>
    <row r="48" spans="2:22" ht="12.75">
      <c r="B48" s="250"/>
      <c r="C48" s="223" t="s">
        <v>192</v>
      </c>
      <c r="D48" s="1" t="s">
        <v>384</v>
      </c>
      <c r="E48" s="229"/>
      <c r="G48" s="1"/>
      <c r="H48" s="1"/>
      <c r="I48" s="1"/>
      <c r="J48" s="1"/>
      <c r="K48" s="1"/>
      <c r="L48" s="1"/>
      <c r="M48" s="1"/>
      <c r="O48" s="1"/>
      <c r="P48" s="1"/>
      <c r="Q48" s="1"/>
      <c r="S48" s="1"/>
      <c r="T48" s="1"/>
      <c r="U48" s="1"/>
      <c r="V48" s="256"/>
    </row>
    <row r="49" spans="2:22" ht="12.75">
      <c r="B49" s="250"/>
      <c r="C49" s="223" t="s">
        <v>385</v>
      </c>
      <c r="D49" s="15">
        <f>D33</f>
        <v>0.0405</v>
      </c>
      <c r="E49" s="229" t="s">
        <v>10</v>
      </c>
      <c r="G49" s="1"/>
      <c r="H49" s="1"/>
      <c r="I49" s="1"/>
      <c r="J49" s="1"/>
      <c r="K49" s="1"/>
      <c r="L49" s="1"/>
      <c r="M49" s="1"/>
      <c r="O49" s="1"/>
      <c r="P49" s="1"/>
      <c r="Q49" s="1"/>
      <c r="S49" s="1"/>
      <c r="T49" s="1"/>
      <c r="U49" s="1"/>
      <c r="V49" s="256"/>
    </row>
    <row r="50" spans="2:22" ht="12.75">
      <c r="B50" s="250"/>
      <c r="C50" s="271" t="s">
        <v>192</v>
      </c>
      <c r="D50" s="270">
        <f>(1/(1-D49^4))^0.5</f>
        <v>1.0000013452127456</v>
      </c>
      <c r="E50" s="230" t="s">
        <v>10</v>
      </c>
      <c r="G50" s="1"/>
      <c r="H50" s="1"/>
      <c r="I50" s="1"/>
      <c r="J50" s="1"/>
      <c r="K50" s="1"/>
      <c r="L50" s="1"/>
      <c r="M50" s="1"/>
      <c r="O50" s="1"/>
      <c r="P50" s="1"/>
      <c r="Q50" s="1"/>
      <c r="S50" s="1"/>
      <c r="T50" s="1"/>
      <c r="U50" s="1"/>
      <c r="V50" s="256"/>
    </row>
    <row r="51" spans="2:22" ht="12.75">
      <c r="B51" s="250"/>
      <c r="C51" s="1"/>
      <c r="D51" s="1"/>
      <c r="E51" s="1"/>
      <c r="G51" s="1"/>
      <c r="H51" s="1"/>
      <c r="I51" s="1"/>
      <c r="J51" s="1"/>
      <c r="K51" s="1"/>
      <c r="L51" s="1"/>
      <c r="M51" s="1"/>
      <c r="O51" s="1"/>
      <c r="P51" s="1"/>
      <c r="Q51" s="1"/>
      <c r="S51" s="1"/>
      <c r="T51" s="1"/>
      <c r="U51" s="1"/>
      <c r="V51" s="256"/>
    </row>
    <row r="52" spans="2:25" ht="12.75">
      <c r="B52" s="250"/>
      <c r="C52" s="1"/>
      <c r="D52" s="1"/>
      <c r="E52" s="1"/>
      <c r="G52" s="1"/>
      <c r="H52" s="1"/>
      <c r="I52" s="1"/>
      <c r="J52" s="1"/>
      <c r="K52" s="1"/>
      <c r="L52" s="1"/>
      <c r="M52" s="1"/>
      <c r="O52" s="1"/>
      <c r="S52" s="1"/>
      <c r="T52" s="1"/>
      <c r="U52" s="1"/>
      <c r="V52" s="256"/>
      <c r="Y52" s="1"/>
    </row>
    <row r="53" spans="2:25" ht="12.75">
      <c r="B53" s="250"/>
      <c r="C53" s="1"/>
      <c r="D53" s="1"/>
      <c r="E53" s="1"/>
      <c r="G53" s="1"/>
      <c r="H53" s="1"/>
      <c r="I53" s="1"/>
      <c r="J53" s="1"/>
      <c r="K53" s="1"/>
      <c r="L53" s="1"/>
      <c r="M53" s="1"/>
      <c r="O53" s="1"/>
      <c r="P53" s="1"/>
      <c r="Q53" s="1"/>
      <c r="S53" s="1"/>
      <c r="T53" s="1"/>
      <c r="U53" s="1"/>
      <c r="V53" s="256"/>
      <c r="Y53" s="1"/>
    </row>
    <row r="54" spans="2:25" ht="12.75">
      <c r="B54" s="250"/>
      <c r="C54" s="7" t="s">
        <v>350</v>
      </c>
      <c r="D54" s="7"/>
      <c r="E54" s="1"/>
      <c r="G54" s="7"/>
      <c r="H54" s="17"/>
      <c r="I54" s="1"/>
      <c r="J54" s="1"/>
      <c r="K54" s="1"/>
      <c r="L54" s="1"/>
      <c r="M54" s="1"/>
      <c r="O54" s="1"/>
      <c r="P54" s="1"/>
      <c r="Q54" s="1"/>
      <c r="S54" s="1"/>
      <c r="T54" s="1"/>
      <c r="U54" s="187"/>
      <c r="V54" s="256"/>
      <c r="Y54" s="1"/>
    </row>
    <row r="55" spans="2:25" ht="12.75">
      <c r="B55" s="250"/>
      <c r="C55" s="283" t="s">
        <v>213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9"/>
      <c r="U55" s="1"/>
      <c r="V55" s="256"/>
      <c r="Y55" s="1"/>
    </row>
    <row r="56" spans="2:25" ht="12.75">
      <c r="B56" s="250"/>
      <c r="C56" s="1"/>
      <c r="D56" s="1"/>
      <c r="E56" s="1"/>
      <c r="G56" s="1"/>
      <c r="H56" s="1"/>
      <c r="I56" s="1"/>
      <c r="J56" s="1"/>
      <c r="K56" s="1"/>
      <c r="L56" s="1"/>
      <c r="M56" s="1"/>
      <c r="O56" s="1"/>
      <c r="P56" s="1"/>
      <c r="Q56" s="1"/>
      <c r="S56" s="1"/>
      <c r="T56" s="1"/>
      <c r="U56" s="1"/>
      <c r="V56" s="256"/>
      <c r="Y56" s="1"/>
    </row>
    <row r="57" spans="2:25" ht="13.5" thickBot="1">
      <c r="B57" s="253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7"/>
      <c r="Y57" s="1"/>
    </row>
    <row r="58" spans="6:18" ht="13.5" thickTop="1">
      <c r="F58" s="211"/>
      <c r="N58" s="211"/>
      <c r="R58" s="211"/>
    </row>
    <row r="59" spans="6:18" ht="13.5" thickBot="1">
      <c r="F59" s="211"/>
      <c r="N59" s="211"/>
      <c r="R59" s="211"/>
    </row>
    <row r="60" spans="2:22" ht="13.5" thickTop="1">
      <c r="B60" s="251"/>
      <c r="C60" s="252" t="s">
        <v>0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84" t="s">
        <v>354</v>
      </c>
    </row>
    <row r="61" spans="2:22" ht="12.75">
      <c r="B61" s="250"/>
      <c r="F61" s="211"/>
      <c r="N61" s="211"/>
      <c r="R61" s="211"/>
      <c r="U61" s="1"/>
      <c r="V61" s="256"/>
    </row>
    <row r="62" spans="2:22" ht="12.75">
      <c r="B62" s="250"/>
      <c r="C62" s="1"/>
      <c r="D62" s="1"/>
      <c r="E62" s="1"/>
      <c r="G62" s="1"/>
      <c r="H62" s="1"/>
      <c r="I62" s="1"/>
      <c r="J62" s="1"/>
      <c r="K62" s="1"/>
      <c r="L62" s="1"/>
      <c r="M62" s="1"/>
      <c r="O62" s="1"/>
      <c r="P62" s="1"/>
      <c r="Q62" s="1"/>
      <c r="S62" s="1"/>
      <c r="T62" s="1"/>
      <c r="U62" s="1"/>
      <c r="V62" s="256"/>
    </row>
    <row r="63" spans="2:22" ht="12.75">
      <c r="B63" s="250"/>
      <c r="C63" s="1"/>
      <c r="D63" s="1"/>
      <c r="E63" s="1"/>
      <c r="G63" s="1"/>
      <c r="H63" s="1"/>
      <c r="I63" s="1"/>
      <c r="J63" s="1"/>
      <c r="K63" s="1"/>
      <c r="L63" s="1"/>
      <c r="M63" s="1"/>
      <c r="O63" s="1"/>
      <c r="P63" s="1"/>
      <c r="Q63" s="1"/>
      <c r="S63" s="1"/>
      <c r="T63" s="1"/>
      <c r="U63" s="1"/>
      <c r="V63" s="256"/>
    </row>
    <row r="64" spans="2:22" ht="12.75">
      <c r="B64" s="250"/>
      <c r="C64" s="1"/>
      <c r="D64" s="1"/>
      <c r="E64" s="1"/>
      <c r="G64" s="1"/>
      <c r="H64" s="1"/>
      <c r="I64" s="1"/>
      <c r="J64" s="1"/>
      <c r="K64" s="1"/>
      <c r="L64" s="1"/>
      <c r="M64" s="1"/>
      <c r="O64" s="1"/>
      <c r="P64" s="1"/>
      <c r="Q64" s="1"/>
      <c r="S64" s="1"/>
      <c r="T64" s="1"/>
      <c r="U64" s="1"/>
      <c r="V64" s="256"/>
    </row>
    <row r="65" spans="2:22" ht="14.25">
      <c r="B65" s="250"/>
      <c r="C65" s="1" t="s">
        <v>275</v>
      </c>
      <c r="D65" s="1"/>
      <c r="E65" s="1"/>
      <c r="G65" s="1" t="s">
        <v>234</v>
      </c>
      <c r="H65" s="1"/>
      <c r="I65" s="1"/>
      <c r="J65" s="1"/>
      <c r="K65" s="1"/>
      <c r="L65" s="1"/>
      <c r="M65" s="1"/>
      <c r="O65" s="1"/>
      <c r="P65" s="1"/>
      <c r="Q65" s="1"/>
      <c r="S65" s="1"/>
      <c r="T65" s="1"/>
      <c r="U65" s="1"/>
      <c r="V65" s="256"/>
    </row>
    <row r="66" spans="2:22" ht="12.75">
      <c r="B66" s="250"/>
      <c r="C66" s="1" t="s">
        <v>276</v>
      </c>
      <c r="D66" s="1"/>
      <c r="E66" s="1"/>
      <c r="G66" s="1" t="s">
        <v>231</v>
      </c>
      <c r="H66" s="186" t="s">
        <v>216</v>
      </c>
      <c r="I66" s="1"/>
      <c r="J66" s="1" t="s">
        <v>212</v>
      </c>
      <c r="K66" s="1"/>
      <c r="L66" s="1"/>
      <c r="M66" s="1"/>
      <c r="O66" s="1"/>
      <c r="P66" s="1"/>
      <c r="Q66" s="1"/>
      <c r="S66" s="1"/>
      <c r="T66" s="1"/>
      <c r="U66" s="1"/>
      <c r="V66" s="256"/>
    </row>
    <row r="67" spans="2:22" ht="12.75">
      <c r="B67" s="250"/>
      <c r="C67" s="1" t="s">
        <v>277</v>
      </c>
      <c r="D67" s="1"/>
      <c r="E67" s="1"/>
      <c r="G67" s="1" t="s">
        <v>231</v>
      </c>
      <c r="H67" s="167" t="s">
        <v>218</v>
      </c>
      <c r="I67" s="1"/>
      <c r="J67" s="1"/>
      <c r="K67" s="1"/>
      <c r="L67" s="1"/>
      <c r="M67" s="1"/>
      <c r="O67" s="1"/>
      <c r="P67" s="1"/>
      <c r="Q67" s="1"/>
      <c r="S67" s="1"/>
      <c r="T67" s="1"/>
      <c r="U67" s="1"/>
      <c r="V67" s="256"/>
    </row>
    <row r="68" spans="2:22" ht="12.75">
      <c r="B68" s="250"/>
      <c r="C68" s="1"/>
      <c r="D68" s="1"/>
      <c r="E68" s="1"/>
      <c r="G68" s="1"/>
      <c r="H68" s="1" t="s">
        <v>388</v>
      </c>
      <c r="I68" s="1"/>
      <c r="J68" s="1"/>
      <c r="K68" s="1"/>
      <c r="L68" s="1"/>
      <c r="M68" s="1"/>
      <c r="O68" s="1"/>
      <c r="P68" s="1"/>
      <c r="Q68" s="1"/>
      <c r="S68" s="1"/>
      <c r="T68" s="1"/>
      <c r="U68" s="1"/>
      <c r="V68" s="256"/>
    </row>
    <row r="69" spans="2:22" ht="12.75">
      <c r="B69" s="250"/>
      <c r="C69" s="1" t="s">
        <v>357</v>
      </c>
      <c r="D69" s="1"/>
      <c r="E69" s="1"/>
      <c r="G69" s="1" t="s">
        <v>231</v>
      </c>
      <c r="H69" s="34" t="s">
        <v>238</v>
      </c>
      <c r="I69" s="1"/>
      <c r="J69" s="1"/>
      <c r="K69" s="1"/>
      <c r="L69" s="1"/>
      <c r="M69" s="1"/>
      <c r="O69" s="1"/>
      <c r="P69" s="1"/>
      <c r="Q69" s="1"/>
      <c r="S69" s="1"/>
      <c r="T69" s="1"/>
      <c r="U69" s="1"/>
      <c r="V69" s="256"/>
    </row>
    <row r="70" spans="2:22" ht="12.75">
      <c r="B70" s="250"/>
      <c r="C70" s="1" t="s">
        <v>279</v>
      </c>
      <c r="D70" s="1"/>
      <c r="E70" s="1"/>
      <c r="G70" s="1" t="s">
        <v>233</v>
      </c>
      <c r="H70" s="8" t="s">
        <v>220</v>
      </c>
      <c r="I70" s="1"/>
      <c r="J70" s="1"/>
      <c r="K70" s="1"/>
      <c r="L70" s="1"/>
      <c r="M70" s="1"/>
      <c r="O70" s="1"/>
      <c r="P70" s="1"/>
      <c r="Q70" s="1"/>
      <c r="S70" s="1"/>
      <c r="T70" s="1"/>
      <c r="U70" s="1"/>
      <c r="V70" s="256"/>
    </row>
    <row r="71" spans="2:22" ht="15.75">
      <c r="B71" s="250"/>
      <c r="C71" s="34" t="s">
        <v>280</v>
      </c>
      <c r="D71" s="1"/>
      <c r="E71" s="1"/>
      <c r="G71" s="1" t="s">
        <v>228</v>
      </c>
      <c r="H71" s="34" t="s">
        <v>221</v>
      </c>
      <c r="I71" s="1"/>
      <c r="J71" s="1"/>
      <c r="K71" s="1"/>
      <c r="L71" s="1"/>
      <c r="M71" s="1"/>
      <c r="O71" s="1"/>
      <c r="P71" s="1"/>
      <c r="Q71" s="1"/>
      <c r="S71" s="1"/>
      <c r="T71" s="1"/>
      <c r="U71" s="1"/>
      <c r="V71" s="256"/>
    </row>
    <row r="72" spans="2:22" ht="14.25">
      <c r="B72" s="250"/>
      <c r="C72" s="8" t="s">
        <v>281</v>
      </c>
      <c r="D72" s="1"/>
      <c r="E72" s="1"/>
      <c r="G72" s="34" t="s">
        <v>230</v>
      </c>
      <c r="H72" s="1"/>
      <c r="I72" s="1"/>
      <c r="J72" s="1"/>
      <c r="K72" s="1"/>
      <c r="L72" s="1"/>
      <c r="M72" s="1"/>
      <c r="O72" s="1"/>
      <c r="P72" s="1"/>
      <c r="Q72" s="1"/>
      <c r="S72" s="1"/>
      <c r="T72" s="1"/>
      <c r="U72" s="1"/>
      <c r="V72" s="256"/>
    </row>
    <row r="73" spans="2:22" ht="12.75">
      <c r="B73" s="250"/>
      <c r="C73" s="8" t="s">
        <v>282</v>
      </c>
      <c r="D73" s="1"/>
      <c r="E73" s="1"/>
      <c r="G73" s="1" t="s">
        <v>231</v>
      </c>
      <c r="H73" s="1"/>
      <c r="I73" s="1"/>
      <c r="J73" s="1"/>
      <c r="K73" s="1"/>
      <c r="L73" s="1"/>
      <c r="M73" s="1"/>
      <c r="O73" s="1"/>
      <c r="P73" s="1"/>
      <c r="Q73" s="1"/>
      <c r="S73" s="1"/>
      <c r="T73" s="1"/>
      <c r="U73" s="1"/>
      <c r="V73" s="256"/>
    </row>
    <row r="74" spans="2:22" ht="12.75">
      <c r="B74" s="250"/>
      <c r="C74" s="8" t="s">
        <v>358</v>
      </c>
      <c r="D74" s="1"/>
      <c r="E74" s="1"/>
      <c r="G74" s="1"/>
      <c r="H74" s="1"/>
      <c r="I74" s="1"/>
      <c r="J74" s="1"/>
      <c r="K74" s="1"/>
      <c r="L74" s="1"/>
      <c r="M74" s="1"/>
      <c r="O74" s="1"/>
      <c r="P74" s="1"/>
      <c r="Q74" s="1"/>
      <c r="S74" s="1"/>
      <c r="T74" s="1"/>
      <c r="U74" s="1"/>
      <c r="V74" s="256"/>
    </row>
    <row r="75" spans="2:22" ht="15.75">
      <c r="B75" s="250"/>
      <c r="C75" s="8" t="s">
        <v>284</v>
      </c>
      <c r="D75" s="1"/>
      <c r="E75" s="1"/>
      <c r="G75" s="8" t="s">
        <v>232</v>
      </c>
      <c r="H75" s="1"/>
      <c r="I75" s="1"/>
      <c r="J75" s="1"/>
      <c r="K75" s="1"/>
      <c r="L75" s="1"/>
      <c r="M75" s="1"/>
      <c r="O75" s="1"/>
      <c r="P75" s="1"/>
      <c r="Q75" s="1"/>
      <c r="S75" s="1"/>
      <c r="T75" s="1"/>
      <c r="U75" s="1"/>
      <c r="V75" s="256"/>
    </row>
    <row r="76" spans="2:22" ht="15.75">
      <c r="B76" s="250"/>
      <c r="C76" s="8" t="s">
        <v>285</v>
      </c>
      <c r="D76" s="1"/>
      <c r="E76" s="1"/>
      <c r="G76" s="8" t="s">
        <v>232</v>
      </c>
      <c r="H76" s="1"/>
      <c r="I76" s="1"/>
      <c r="J76" s="1"/>
      <c r="K76" s="1"/>
      <c r="L76" s="1"/>
      <c r="M76" s="1"/>
      <c r="O76" s="1"/>
      <c r="P76" s="1"/>
      <c r="Q76" s="1"/>
      <c r="S76" s="1"/>
      <c r="T76" s="1"/>
      <c r="U76" s="1"/>
      <c r="V76" s="256"/>
    </row>
    <row r="77" spans="2:22" ht="15.75">
      <c r="B77" s="250"/>
      <c r="C77" s="1" t="s">
        <v>286</v>
      </c>
      <c r="D77" s="1"/>
      <c r="E77" s="1"/>
      <c r="G77" s="34" t="s">
        <v>237</v>
      </c>
      <c r="H77" s="1"/>
      <c r="I77" s="1"/>
      <c r="J77" s="1"/>
      <c r="K77" s="1"/>
      <c r="L77" s="1"/>
      <c r="M77" s="1"/>
      <c r="O77" s="1"/>
      <c r="P77" s="1"/>
      <c r="Q77" s="1"/>
      <c r="S77" s="1"/>
      <c r="T77" s="1"/>
      <c r="U77" s="1"/>
      <c r="V77" s="256"/>
    </row>
    <row r="78" spans="2:22" ht="12.75">
      <c r="B78" s="250"/>
      <c r="C78" s="8" t="s">
        <v>287</v>
      </c>
      <c r="D78" s="1"/>
      <c r="E78" s="1"/>
      <c r="G78" s="1"/>
      <c r="H78" s="1"/>
      <c r="I78" s="1"/>
      <c r="J78" s="1"/>
      <c r="K78" s="1"/>
      <c r="L78" s="1"/>
      <c r="M78" s="1"/>
      <c r="O78" s="1"/>
      <c r="P78" s="1"/>
      <c r="Q78" s="1"/>
      <c r="S78" s="1"/>
      <c r="T78" s="1"/>
      <c r="U78" s="1"/>
      <c r="V78" s="256"/>
    </row>
    <row r="79" spans="2:22" ht="12.75">
      <c r="B79" s="250"/>
      <c r="C79" s="8" t="s">
        <v>288</v>
      </c>
      <c r="D79" s="1"/>
      <c r="E79" s="1"/>
      <c r="G79" s="1"/>
      <c r="H79" s="1"/>
      <c r="I79" s="1"/>
      <c r="J79" s="1"/>
      <c r="K79" s="1"/>
      <c r="L79" s="1"/>
      <c r="M79" s="1"/>
      <c r="O79" s="1"/>
      <c r="P79" s="1"/>
      <c r="Q79" s="1"/>
      <c r="S79" s="1"/>
      <c r="T79" s="1"/>
      <c r="U79" s="1"/>
      <c r="V79" s="256"/>
    </row>
    <row r="80" spans="2:22" ht="12.75">
      <c r="B80" s="250"/>
      <c r="C80" s="8"/>
      <c r="D80" s="1"/>
      <c r="E80" s="1"/>
      <c r="G80" s="1"/>
      <c r="H80" s="1"/>
      <c r="I80" s="1"/>
      <c r="J80" s="1"/>
      <c r="K80" s="1"/>
      <c r="L80" s="1"/>
      <c r="M80" s="1"/>
      <c r="O80" s="1"/>
      <c r="P80" s="1"/>
      <c r="Q80" s="1"/>
      <c r="S80" s="1"/>
      <c r="T80" s="1"/>
      <c r="U80" s="1"/>
      <c r="V80" s="256"/>
    </row>
    <row r="81" spans="2:22" ht="12.75">
      <c r="B81" s="250"/>
      <c r="C81" s="8"/>
      <c r="D81" s="1"/>
      <c r="E81" s="1"/>
      <c r="G81" s="1"/>
      <c r="H81" s="1"/>
      <c r="I81" s="1"/>
      <c r="J81" s="1"/>
      <c r="K81" s="1"/>
      <c r="L81" s="1"/>
      <c r="M81" s="1"/>
      <c r="O81" s="1"/>
      <c r="P81" s="1"/>
      <c r="Q81" s="1"/>
      <c r="S81" s="1"/>
      <c r="T81" s="1"/>
      <c r="U81" s="1"/>
      <c r="V81" s="256"/>
    </row>
    <row r="82" spans="2:22" ht="12.75">
      <c r="B82" s="250"/>
      <c r="C82" s="8"/>
      <c r="D82" s="1"/>
      <c r="E82" s="1"/>
      <c r="G82" s="1"/>
      <c r="H82" s="1"/>
      <c r="I82" s="1"/>
      <c r="J82" s="1"/>
      <c r="K82" s="1"/>
      <c r="L82" s="1"/>
      <c r="M82" s="1"/>
      <c r="O82" s="1"/>
      <c r="P82" s="7" t="s">
        <v>169</v>
      </c>
      <c r="Q82" s="17">
        <v>9.80665</v>
      </c>
      <c r="R82" s="1" t="s">
        <v>170</v>
      </c>
      <c r="S82" s="1"/>
      <c r="T82" s="1"/>
      <c r="U82" s="1"/>
      <c r="V82" s="256"/>
    </row>
    <row r="83" spans="2:22" ht="12.75">
      <c r="B83" s="250"/>
      <c r="C83" s="8" t="s">
        <v>350</v>
      </c>
      <c r="D83" s="1"/>
      <c r="E83" s="1"/>
      <c r="G83" s="1"/>
      <c r="H83" s="1"/>
      <c r="I83" s="1"/>
      <c r="J83" s="1"/>
      <c r="K83" s="1"/>
      <c r="L83" s="1"/>
      <c r="M83" s="1"/>
      <c r="O83" s="1"/>
      <c r="P83" s="1"/>
      <c r="Q83" s="1"/>
      <c r="S83" s="1"/>
      <c r="T83" s="1"/>
      <c r="U83" s="1"/>
      <c r="V83" s="256"/>
    </row>
    <row r="84" spans="2:22" ht="12.75">
      <c r="B84" s="250"/>
      <c r="C84" s="283" t="s">
        <v>213</v>
      </c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9"/>
      <c r="U84" s="1"/>
      <c r="V84" s="256"/>
    </row>
    <row r="85" spans="2:22" ht="12.75">
      <c r="B85" s="250"/>
      <c r="C85" s="8"/>
      <c r="D85" s="1"/>
      <c r="E85" s="1"/>
      <c r="G85" s="1"/>
      <c r="H85" s="1"/>
      <c r="I85" s="1"/>
      <c r="J85" s="1"/>
      <c r="K85" s="1"/>
      <c r="L85" s="1"/>
      <c r="M85" s="1"/>
      <c r="O85" s="1"/>
      <c r="P85" s="1"/>
      <c r="Q85" s="1"/>
      <c r="S85" s="1"/>
      <c r="T85" s="1"/>
      <c r="U85" s="1"/>
      <c r="V85" s="256"/>
    </row>
    <row r="86" spans="2:22" ht="13.5" thickBot="1">
      <c r="B86" s="253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7"/>
    </row>
    <row r="87" ht="13.5" thickTop="1">
      <c r="F87" s="211"/>
    </row>
    <row r="88" ht="12.75">
      <c r="F88" s="211"/>
    </row>
    <row r="89" ht="12.75">
      <c r="F89" s="211"/>
    </row>
    <row r="90" ht="12.75">
      <c r="F90" s="211"/>
    </row>
    <row r="91" ht="12.75">
      <c r="F91" s="211"/>
    </row>
    <row r="92" ht="12.75">
      <c r="F92" s="211"/>
    </row>
    <row r="93" ht="12.75">
      <c r="F93" s="211"/>
    </row>
    <row r="94" ht="12.75">
      <c r="F94" s="211"/>
    </row>
    <row r="95" ht="12.75">
      <c r="F95" s="211"/>
    </row>
    <row r="96" ht="12.75">
      <c r="F96" s="211"/>
    </row>
    <row r="97" ht="12.75">
      <c r="F97" s="211"/>
    </row>
    <row r="98" ht="12.75">
      <c r="F98" s="211"/>
    </row>
    <row r="99" ht="12.75">
      <c r="F99" s="211"/>
    </row>
    <row r="100" ht="12.75">
      <c r="F100" s="211"/>
    </row>
    <row r="101" ht="12.75">
      <c r="F101" s="211"/>
    </row>
    <row r="102" ht="12.75">
      <c r="F102" s="211"/>
    </row>
    <row r="103" spans="3:6" ht="12.75">
      <c r="C103" s="7"/>
      <c r="D103" s="24"/>
      <c r="E103" s="1"/>
      <c r="F103" s="211"/>
    </row>
    <row r="104" spans="3:6" ht="12.75">
      <c r="C104" s="7"/>
      <c r="D104" s="15"/>
      <c r="E104" s="1"/>
      <c r="F104" s="211"/>
    </row>
    <row r="105" spans="3:6" ht="12.75">
      <c r="C105" s="7"/>
      <c r="D105" s="15"/>
      <c r="E105" s="1"/>
      <c r="F105" s="211"/>
    </row>
  </sheetData>
  <sheetProtection/>
  <mergeCells count="1">
    <mergeCell ref="K40:M40"/>
  </mergeCells>
  <conditionalFormatting sqref="K40">
    <cfRule type="containsText" priority="5" dxfId="2" operator="containsText" text="Iteración terminada">
      <formula>NOT(ISERROR(SEARCH("Iteración terminada",K40)))</formula>
    </cfRule>
    <cfRule type="cellIs" priority="6" dxfId="0" operator="equal">
      <formula>"Hacer click en Calcular para iterar"</formula>
    </cfRule>
    <cfRule type="cellIs" priority="7" dxfId="0" operator="equal">
      <formula>"""Hacer click en Calcular para iterar"""</formula>
    </cfRule>
  </conditionalFormatting>
  <conditionalFormatting sqref="K40">
    <cfRule type="containsText" priority="1" dxfId="0" operator="containsText" text="Click in Calculate for iteration">
      <formula>NOT(ISERROR(SEARCH("Click in Calculate for iteration",K40)))</formula>
    </cfRule>
    <cfRule type="containsText" priority="2" dxfId="2" operator="containsText" text="Iteration finished">
      <formula>NOT(ISERROR(SEARCH("Iteration finished",K40)))</formula>
    </cfRule>
    <cfRule type="cellIs" priority="3" dxfId="0" operator="equal">
      <formula>"Hacer click en Calcular para iterar"</formula>
    </cfRule>
    <cfRule type="cellIs" priority="4" dxfId="0" operator="equal">
      <formula>"""Hacer click en Calcular para iterar"""</formula>
    </cfRule>
  </conditionalFormatting>
  <printOptions/>
  <pageMargins left="0.7" right="0.7" top="0.75" bottom="0.75" header="0.3" footer="0.3"/>
  <pageSetup horizontalDpi="600" verticalDpi="600" orientation="portrait" scale="56" r:id="rId5"/>
  <ignoredErrors>
    <ignoredError sqref="K40" evalError="1"/>
  </ignoredErrors>
  <drawing r:id="rId4"/>
  <legacyDrawing r:id="rId3"/>
  <oleObjects>
    <oleObject progId="Equation.3" shapeId="87656651" r:id="rId1"/>
    <oleObject progId="Equation.3" shapeId="8765665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theme="3"/>
  </sheetPr>
  <dimension ref="A1:V106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2" width="3.28125" style="211" customWidth="1"/>
    <col min="3" max="3" width="10.8515625" style="211" customWidth="1"/>
    <col min="4" max="4" width="10.7109375" style="211" customWidth="1"/>
    <col min="5" max="5" width="6.7109375" style="211" customWidth="1"/>
    <col min="6" max="6" width="6.140625" style="1" customWidth="1"/>
    <col min="7" max="9" width="10.8515625" style="211" customWidth="1"/>
    <col min="10" max="10" width="5.00390625" style="211" customWidth="1"/>
    <col min="11" max="12" width="10.8515625" style="211" customWidth="1"/>
    <col min="13" max="13" width="8.421875" style="211" customWidth="1"/>
    <col min="14" max="14" width="4.00390625" style="1" customWidth="1"/>
    <col min="15" max="15" width="7.00390625" style="211" customWidth="1"/>
    <col min="16" max="16" width="12.8515625" style="211" customWidth="1"/>
    <col min="17" max="17" width="8.140625" style="211" customWidth="1"/>
    <col min="18" max="18" width="4.00390625" style="1" customWidth="1"/>
    <col min="19" max="19" width="10.8515625" style="211" customWidth="1"/>
    <col min="20" max="20" width="17.7109375" style="211" customWidth="1"/>
    <col min="21" max="21" width="5.140625" style="211" customWidth="1"/>
    <col min="22" max="16384" width="10.8515625" style="211" customWidth="1"/>
  </cols>
  <sheetData>
    <row r="1" spans="2:22" ht="13.5" thickBot="1">
      <c r="B1" s="1"/>
      <c r="C1" s="1"/>
      <c r="D1" s="1"/>
      <c r="E1" s="1"/>
      <c r="G1" s="1"/>
      <c r="H1" s="1"/>
      <c r="I1" s="1"/>
      <c r="J1" s="1"/>
      <c r="K1" s="1"/>
      <c r="L1" s="1"/>
      <c r="M1" s="1"/>
      <c r="O1" s="1"/>
      <c r="P1" s="1"/>
      <c r="Q1" s="1"/>
      <c r="S1" s="1"/>
      <c r="T1" s="315" t="str">
        <f>Index!J2</f>
        <v>Rev. cjc. 11.07.2016</v>
      </c>
      <c r="V1" s="1"/>
    </row>
    <row r="2" spans="2:22" ht="13.5" thickTop="1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84" t="s">
        <v>356</v>
      </c>
      <c r="U2" s="1"/>
      <c r="V2" s="1"/>
    </row>
    <row r="3" spans="2:22" ht="12.75">
      <c r="B3" s="250"/>
      <c r="C3" s="145" t="s">
        <v>370</v>
      </c>
      <c r="D3" s="186"/>
      <c r="E3" s="186"/>
      <c r="F3" s="186"/>
      <c r="G3" s="186"/>
      <c r="H3" s="1"/>
      <c r="I3" s="186"/>
      <c r="J3" s="186"/>
      <c r="K3" s="186"/>
      <c r="L3" s="1"/>
      <c r="M3" s="186"/>
      <c r="N3" s="186"/>
      <c r="O3" s="186"/>
      <c r="P3" s="1"/>
      <c r="Q3" s="1"/>
      <c r="S3" s="1"/>
      <c r="T3" s="256"/>
      <c r="U3" s="1"/>
      <c r="V3" s="1"/>
    </row>
    <row r="4" spans="1:20" ht="15.75" customHeight="1">
      <c r="A4" s="1"/>
      <c r="B4" s="250"/>
      <c r="T4" s="256"/>
    </row>
    <row r="5" spans="1:20" ht="15.75" customHeight="1">
      <c r="A5" s="1"/>
      <c r="B5" s="250"/>
      <c r="C5" s="211" t="s">
        <v>371</v>
      </c>
      <c r="T5" s="256"/>
    </row>
    <row r="6" spans="1:20" ht="15.75" customHeight="1">
      <c r="A6" s="1"/>
      <c r="B6" s="250"/>
      <c r="C6" s="1"/>
      <c r="D6" s="1"/>
      <c r="E6" s="1"/>
      <c r="G6" s="1"/>
      <c r="H6" s="1"/>
      <c r="I6" s="1"/>
      <c r="J6" s="1"/>
      <c r="K6" s="186"/>
      <c r="L6" s="1"/>
      <c r="M6" s="186"/>
      <c r="O6" s="1"/>
      <c r="P6" s="1"/>
      <c r="Q6" s="1"/>
      <c r="S6" s="1"/>
      <c r="T6" s="256"/>
    </row>
    <row r="7" spans="1:20" ht="15.75" customHeight="1">
      <c r="A7" s="1"/>
      <c r="B7" s="250"/>
      <c r="C7" s="1" t="s">
        <v>320</v>
      </c>
      <c r="D7" s="233" t="s">
        <v>14</v>
      </c>
      <c r="E7" s="1"/>
      <c r="G7" s="1"/>
      <c r="H7" s="1"/>
      <c r="I7" s="1"/>
      <c r="J7" s="1"/>
      <c r="K7" s="186"/>
      <c r="L7" s="1"/>
      <c r="M7" s="186"/>
      <c r="O7" s="1"/>
      <c r="P7" s="1"/>
      <c r="Q7" s="1"/>
      <c r="S7" s="1"/>
      <c r="T7" s="256"/>
    </row>
    <row r="8" spans="1:20" ht="15.75" customHeight="1">
      <c r="A8" s="1"/>
      <c r="B8" s="250"/>
      <c r="C8" s="1" t="s">
        <v>291</v>
      </c>
      <c r="D8" s="1"/>
      <c r="E8" s="1"/>
      <c r="G8" s="238" t="s">
        <v>334</v>
      </c>
      <c r="H8" s="225"/>
      <c r="I8" s="228"/>
      <c r="J8" s="1"/>
      <c r="K8" s="242" t="s">
        <v>294</v>
      </c>
      <c r="L8" s="225"/>
      <c r="M8" s="228"/>
      <c r="O8" s="238" t="s">
        <v>269</v>
      </c>
      <c r="P8" s="225"/>
      <c r="Q8" s="228"/>
      <c r="S8" s="219" t="s">
        <v>297</v>
      </c>
      <c r="T8" s="256"/>
    </row>
    <row r="9" spans="1:20" ht="15.75" customHeight="1">
      <c r="A9" s="1"/>
      <c r="B9" s="250"/>
      <c r="C9" s="7" t="s">
        <v>20</v>
      </c>
      <c r="D9" s="233">
        <v>10</v>
      </c>
      <c r="E9" s="1" t="s">
        <v>6</v>
      </c>
      <c r="G9" s="223" t="s">
        <v>181</v>
      </c>
      <c r="H9" s="233">
        <v>0</v>
      </c>
      <c r="I9" s="229"/>
      <c r="J9" s="1"/>
      <c r="K9" s="237" t="s">
        <v>295</v>
      </c>
      <c r="L9" s="7"/>
      <c r="M9" s="244" t="s">
        <v>0</v>
      </c>
      <c r="O9" s="223" t="s">
        <v>205</v>
      </c>
      <c r="P9" s="7" t="s">
        <v>171</v>
      </c>
      <c r="Q9" s="229"/>
      <c r="S9" s="219" t="s">
        <v>335</v>
      </c>
      <c r="T9" s="256"/>
    </row>
    <row r="10" spans="1:20" ht="15.75" customHeight="1">
      <c r="A10" s="1"/>
      <c r="B10" s="250"/>
      <c r="C10" s="1" t="s">
        <v>292</v>
      </c>
      <c r="D10" s="1"/>
      <c r="E10" s="1"/>
      <c r="G10" s="271" t="s">
        <v>182</v>
      </c>
      <c r="H10" s="233">
        <v>0</v>
      </c>
      <c r="I10" s="230"/>
      <c r="J10" s="1"/>
      <c r="K10" s="223" t="s">
        <v>20</v>
      </c>
      <c r="L10" s="7">
        <f>D9</f>
        <v>10</v>
      </c>
      <c r="M10" s="229" t="s">
        <v>6</v>
      </c>
      <c r="O10" s="223" t="s">
        <v>1</v>
      </c>
      <c r="P10" s="24">
        <f>H18</f>
        <v>0.0032489941330280064</v>
      </c>
      <c r="Q10" s="229" t="s">
        <v>177</v>
      </c>
      <c r="S10" s="219" t="s">
        <v>336</v>
      </c>
      <c r="T10" s="256"/>
    </row>
    <row r="11" spans="1:20" ht="15.75" customHeight="1">
      <c r="A11" s="1"/>
      <c r="B11" s="250"/>
      <c r="C11" s="7" t="s">
        <v>191</v>
      </c>
      <c r="D11" s="234">
        <v>170372</v>
      </c>
      <c r="E11" s="1" t="s">
        <v>168</v>
      </c>
      <c r="G11" s="1"/>
      <c r="H11" s="1"/>
      <c r="I11" s="1"/>
      <c r="J11" s="1"/>
      <c r="K11" s="223" t="s">
        <v>250</v>
      </c>
      <c r="L11" s="209" t="s">
        <v>253</v>
      </c>
      <c r="M11" s="229"/>
      <c r="O11" s="223" t="s">
        <v>25</v>
      </c>
      <c r="P11" s="23">
        <f>H13</f>
        <v>0.00046376976150455933</v>
      </c>
      <c r="Q11" s="229" t="s">
        <v>26</v>
      </c>
      <c r="S11" s="219" t="s">
        <v>337</v>
      </c>
      <c r="T11" s="256"/>
    </row>
    <row r="12" spans="1:20" ht="15.75" customHeight="1">
      <c r="A12" s="1"/>
      <c r="B12" s="250"/>
      <c r="C12" s="1" t="s">
        <v>359</v>
      </c>
      <c r="D12" s="1"/>
      <c r="E12" s="1"/>
      <c r="G12" s="238" t="s">
        <v>344</v>
      </c>
      <c r="H12" s="239"/>
      <c r="I12" s="228"/>
      <c r="J12" s="1"/>
      <c r="K12" s="223" t="s">
        <v>250</v>
      </c>
      <c r="L12" s="287">
        <f>AirAbsoluteViscosity_t(L10)</f>
        <v>1.7617499906918965E-05</v>
      </c>
      <c r="M12" s="245" t="s">
        <v>37</v>
      </c>
      <c r="O12" s="271" t="s">
        <v>205</v>
      </c>
      <c r="P12" s="288">
        <f>P10/P11</f>
        <v>7.005618741695529</v>
      </c>
      <c r="Q12" s="230" t="s">
        <v>18</v>
      </c>
      <c r="S12" s="219" t="s">
        <v>338</v>
      </c>
      <c r="T12" s="256"/>
    </row>
    <row r="13" spans="1:20" ht="15.75" customHeight="1">
      <c r="A13" s="1"/>
      <c r="B13" s="250"/>
      <c r="C13" s="7" t="s">
        <v>202</v>
      </c>
      <c r="D13" s="234">
        <v>101325</v>
      </c>
      <c r="E13" s="1" t="s">
        <v>168</v>
      </c>
      <c r="G13" s="271" t="s">
        <v>25</v>
      </c>
      <c r="H13" s="296">
        <f>(PI()/4)*D20^2</f>
        <v>0.00046376976150455933</v>
      </c>
      <c r="I13" s="230" t="s">
        <v>26</v>
      </c>
      <c r="J13" s="1"/>
      <c r="K13" s="241"/>
      <c r="L13" s="1"/>
      <c r="M13" s="229"/>
      <c r="O13" s="1"/>
      <c r="P13" s="1"/>
      <c r="Q13" s="1"/>
      <c r="S13" s="219" t="s">
        <v>364</v>
      </c>
      <c r="T13" s="256"/>
    </row>
    <row r="14" spans="1:20" ht="15.75" customHeight="1">
      <c r="A14" s="1"/>
      <c r="B14" s="250"/>
      <c r="C14" s="1" t="s">
        <v>260</v>
      </c>
      <c r="D14" s="1"/>
      <c r="E14" s="1"/>
      <c r="G14" s="1"/>
      <c r="H14" s="1"/>
      <c r="I14" s="1"/>
      <c r="J14" s="1"/>
      <c r="K14" s="241" t="s">
        <v>266</v>
      </c>
      <c r="L14" s="1"/>
      <c r="M14" s="229" t="s">
        <v>0</v>
      </c>
      <c r="O14" s="247" t="s">
        <v>270</v>
      </c>
      <c r="P14" s="225"/>
      <c r="Q14" s="228"/>
      <c r="S14" s="219" t="s">
        <v>365</v>
      </c>
      <c r="T14" s="256"/>
    </row>
    <row r="15" spans="1:20" ht="15.75" customHeight="1">
      <c r="A15" s="1"/>
      <c r="B15" s="250"/>
      <c r="C15" s="7" t="s">
        <v>188</v>
      </c>
      <c r="D15" s="165">
        <f>D11-D13</f>
        <v>69047</v>
      </c>
      <c r="E15" s="1" t="s">
        <v>168</v>
      </c>
      <c r="G15" s="293" t="s">
        <v>263</v>
      </c>
      <c r="H15" s="225"/>
      <c r="I15" s="228"/>
      <c r="J15" s="1"/>
      <c r="K15" s="223" t="s">
        <v>203</v>
      </c>
      <c r="L15" s="7" t="s">
        <v>239</v>
      </c>
      <c r="M15" s="229"/>
      <c r="O15" s="223" t="s">
        <v>19</v>
      </c>
      <c r="P15" s="1" t="s">
        <v>186</v>
      </c>
      <c r="Q15" s="229"/>
      <c r="S15" s="1"/>
      <c r="T15" s="256"/>
    </row>
    <row r="16" spans="1:20" ht="15.75" customHeight="1">
      <c r="A16" s="1"/>
      <c r="B16" s="250"/>
      <c r="C16" s="1" t="s">
        <v>262</v>
      </c>
      <c r="D16" s="1"/>
      <c r="E16" s="1"/>
      <c r="G16" s="237" t="s">
        <v>389</v>
      </c>
      <c r="H16" s="1"/>
      <c r="I16" s="229"/>
      <c r="J16" s="1"/>
      <c r="K16" s="223" t="s">
        <v>20</v>
      </c>
      <c r="L16" s="7">
        <f>D9</f>
        <v>10</v>
      </c>
      <c r="M16" s="229" t="s">
        <v>2</v>
      </c>
      <c r="O16" s="223" t="s">
        <v>12</v>
      </c>
      <c r="P16" s="15">
        <f>P12</f>
        <v>7.005618741695529</v>
      </c>
      <c r="Q16" s="229" t="s">
        <v>18</v>
      </c>
      <c r="S16" s="219" t="s">
        <v>343</v>
      </c>
      <c r="T16" s="256"/>
    </row>
    <row r="17" spans="1:20" ht="15.75" customHeight="1">
      <c r="A17" s="1"/>
      <c r="B17" s="250"/>
      <c r="C17" s="7" t="s">
        <v>190</v>
      </c>
      <c r="D17" s="235">
        <v>600</v>
      </c>
      <c r="E17" s="1" t="s">
        <v>3</v>
      </c>
      <c r="G17" s="263" t="s">
        <v>264</v>
      </c>
      <c r="H17" s="352">
        <v>11.696378878900823</v>
      </c>
      <c r="I17" s="229" t="s">
        <v>175</v>
      </c>
      <c r="J17" s="1"/>
      <c r="K17" s="223" t="s">
        <v>11</v>
      </c>
      <c r="L17" s="22">
        <f>D11/100/1000</f>
        <v>1.7037200000000001</v>
      </c>
      <c r="M17" s="229" t="s">
        <v>15</v>
      </c>
      <c r="O17" s="223" t="s">
        <v>189</v>
      </c>
      <c r="P17" s="7">
        <f>D20</f>
        <v>0.024300000000000002</v>
      </c>
      <c r="Q17" s="229" t="s">
        <v>5</v>
      </c>
      <c r="S17" s="219" t="s">
        <v>339</v>
      </c>
      <c r="T17" s="256"/>
    </row>
    <row r="18" spans="1:20" ht="15.75" customHeight="1">
      <c r="A18" s="1"/>
      <c r="B18" s="250"/>
      <c r="C18" s="1" t="s">
        <v>324</v>
      </c>
      <c r="D18" s="7"/>
      <c r="E18" s="1"/>
      <c r="G18" s="294" t="s">
        <v>264</v>
      </c>
      <c r="H18" s="295">
        <f>H17/3600</f>
        <v>0.0032489941330280064</v>
      </c>
      <c r="I18" s="230" t="s">
        <v>177</v>
      </c>
      <c r="J18" s="1"/>
      <c r="K18" s="223" t="s">
        <v>203</v>
      </c>
      <c r="L18" s="286" t="s">
        <v>322</v>
      </c>
      <c r="M18" s="229"/>
      <c r="O18" s="223" t="s">
        <v>187</v>
      </c>
      <c r="P18" s="166">
        <f>L25</f>
        <v>1.7617499906918966E-08</v>
      </c>
      <c r="Q18" s="245" t="s">
        <v>27</v>
      </c>
      <c r="S18" s="219" t="s">
        <v>340</v>
      </c>
      <c r="T18" s="256"/>
    </row>
    <row r="19" spans="1:20" ht="15.75" customHeight="1">
      <c r="A19" s="1"/>
      <c r="B19" s="250"/>
      <c r="C19" s="7" t="s">
        <v>189</v>
      </c>
      <c r="D19" s="233">
        <v>24.3</v>
      </c>
      <c r="E19" s="1" t="s">
        <v>3</v>
      </c>
      <c r="J19" s="1"/>
      <c r="K19" s="223" t="s">
        <v>203</v>
      </c>
      <c r="L19" s="288">
        <f>SaturatedWaterDensity_t(L16)</f>
        <v>1000</v>
      </c>
      <c r="M19" s="229" t="s">
        <v>194</v>
      </c>
      <c r="O19" s="271" t="s">
        <v>19</v>
      </c>
      <c r="P19" s="291">
        <f>P16*P17/P18</f>
        <v>9662922.45339215</v>
      </c>
      <c r="Q19" s="230"/>
      <c r="S19" s="219" t="s">
        <v>341</v>
      </c>
      <c r="T19" s="256"/>
    </row>
    <row r="20" spans="1:20" ht="15.75" customHeight="1">
      <c r="A20" s="1"/>
      <c r="B20" s="250"/>
      <c r="C20" s="7" t="s">
        <v>189</v>
      </c>
      <c r="D20" s="7">
        <f>D19/1000</f>
        <v>0.024300000000000002</v>
      </c>
      <c r="E20" s="1" t="s">
        <v>5</v>
      </c>
      <c r="J20" s="1"/>
      <c r="K20" s="241"/>
      <c r="L20" s="1"/>
      <c r="M20" s="229"/>
      <c r="O20" s="1"/>
      <c r="P20" s="1"/>
      <c r="Q20" s="1"/>
      <c r="S20" s="219" t="s">
        <v>342</v>
      </c>
      <c r="T20" s="256"/>
    </row>
    <row r="21" spans="1:20" ht="15.75" customHeight="1">
      <c r="A21" s="1"/>
      <c r="B21" s="250"/>
      <c r="C21" s="1"/>
      <c r="D21" s="1"/>
      <c r="E21" s="1"/>
      <c r="J21" s="1"/>
      <c r="K21" s="237" t="s">
        <v>268</v>
      </c>
      <c r="L21" s="7"/>
      <c r="M21" s="244" t="s">
        <v>0</v>
      </c>
      <c r="O21" s="247" t="s">
        <v>274</v>
      </c>
      <c r="P21" s="225"/>
      <c r="Q21" s="228"/>
      <c r="S21" s="1"/>
      <c r="T21" s="256"/>
    </row>
    <row r="22" spans="1:20" ht="15.75" customHeight="1">
      <c r="A22" s="1"/>
      <c r="B22" s="250"/>
      <c r="C22" s="1"/>
      <c r="D22" s="1"/>
      <c r="E22" s="1"/>
      <c r="J22" s="1"/>
      <c r="K22" s="223" t="s">
        <v>187</v>
      </c>
      <c r="L22" s="7" t="s">
        <v>251</v>
      </c>
      <c r="M22" s="229"/>
      <c r="O22" s="223" t="s">
        <v>208</v>
      </c>
      <c r="P22" s="7" t="s">
        <v>207</v>
      </c>
      <c r="Q22" s="229"/>
      <c r="S22" s="1"/>
      <c r="T22" s="256"/>
    </row>
    <row r="23" spans="1:20" ht="15.75" customHeight="1">
      <c r="A23" s="1"/>
      <c r="B23" s="250"/>
      <c r="C23" s="1"/>
      <c r="D23" s="1"/>
      <c r="E23" s="1"/>
      <c r="J23" s="1"/>
      <c r="K23" s="223" t="s">
        <v>250</v>
      </c>
      <c r="L23" s="166">
        <f>L12</f>
        <v>1.7617499906918965E-05</v>
      </c>
      <c r="M23" s="245" t="s">
        <v>37</v>
      </c>
      <c r="O23" s="223" t="s">
        <v>189</v>
      </c>
      <c r="P23" s="164">
        <f>D19</f>
        <v>24.3</v>
      </c>
      <c r="Q23" s="229" t="s">
        <v>3</v>
      </c>
      <c r="S23" s="1"/>
      <c r="T23" s="256"/>
    </row>
    <row r="24" spans="1:20" ht="15.75" customHeight="1">
      <c r="A24" s="1"/>
      <c r="B24" s="250"/>
      <c r="C24" s="1"/>
      <c r="D24" s="1"/>
      <c r="E24" s="1"/>
      <c r="G24" s="1"/>
      <c r="H24" s="1"/>
      <c r="I24" s="1"/>
      <c r="J24" s="1"/>
      <c r="K24" s="223" t="s">
        <v>195</v>
      </c>
      <c r="L24" s="17">
        <f>L19</f>
        <v>1000</v>
      </c>
      <c r="M24" s="229" t="s">
        <v>255</v>
      </c>
      <c r="O24" s="223" t="s">
        <v>190</v>
      </c>
      <c r="P24" s="163">
        <f>D17</f>
        <v>600</v>
      </c>
      <c r="Q24" s="229" t="s">
        <v>3</v>
      </c>
      <c r="S24" s="1"/>
      <c r="T24" s="256"/>
    </row>
    <row r="25" spans="1:20" ht="15.75" customHeight="1">
      <c r="A25" s="1"/>
      <c r="B25" s="250"/>
      <c r="C25" s="1"/>
      <c r="D25" s="1"/>
      <c r="E25" s="1"/>
      <c r="G25" s="1"/>
      <c r="H25" s="1"/>
      <c r="I25" s="1"/>
      <c r="J25" s="1"/>
      <c r="K25" s="271" t="s">
        <v>187</v>
      </c>
      <c r="L25" s="287">
        <f>L23/L24</f>
        <v>1.7617499906918966E-08</v>
      </c>
      <c r="M25" s="246" t="s">
        <v>27</v>
      </c>
      <c r="O25" s="271" t="s">
        <v>208</v>
      </c>
      <c r="P25" s="292">
        <f>P23/P24</f>
        <v>0.0405</v>
      </c>
      <c r="Q25" s="230" t="s">
        <v>10</v>
      </c>
      <c r="S25" s="1"/>
      <c r="T25" s="256"/>
    </row>
    <row r="26" spans="1:20" ht="15.75" customHeight="1" thickBot="1">
      <c r="A26" s="1"/>
      <c r="B26" s="253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7"/>
    </row>
    <row r="27" spans="1:13" ht="15.75" customHeight="1" thickTop="1">
      <c r="A27" s="1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</row>
    <row r="29" spans="1:18" ht="15.75" customHeight="1" thickBot="1">
      <c r="A29" s="1"/>
      <c r="B29" s="1"/>
      <c r="F29" s="211"/>
      <c r="N29" s="211"/>
      <c r="R29" s="211"/>
    </row>
    <row r="30" spans="1:20" ht="15.75" customHeight="1" thickTop="1">
      <c r="A30" s="1"/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84" t="s">
        <v>355</v>
      </c>
    </row>
    <row r="31" spans="1:20" ht="15.75" customHeight="1">
      <c r="A31" s="1"/>
      <c r="B31" s="250"/>
      <c r="C31" s="238" t="s">
        <v>271</v>
      </c>
      <c r="D31" s="225"/>
      <c r="E31" s="228"/>
      <c r="G31" s="272" t="s">
        <v>353</v>
      </c>
      <c r="H31" s="1"/>
      <c r="I31" s="1"/>
      <c r="J31" s="1"/>
      <c r="K31" s="1"/>
      <c r="L31" s="1"/>
      <c r="M31" s="1"/>
      <c r="O31" s="1"/>
      <c r="P31" s="1"/>
      <c r="Q31" s="1"/>
      <c r="S31" s="1"/>
      <c r="T31" s="256"/>
    </row>
    <row r="32" spans="1:20" ht="15.75" customHeight="1">
      <c r="A32" s="1"/>
      <c r="B32" s="250"/>
      <c r="C32" s="241" t="s">
        <v>296</v>
      </c>
      <c r="D32" s="1"/>
      <c r="E32" s="229"/>
      <c r="G32" s="1"/>
      <c r="H32" s="1"/>
      <c r="I32" s="1"/>
      <c r="J32" s="1"/>
      <c r="K32" s="1"/>
      <c r="L32" s="1"/>
      <c r="M32" s="1"/>
      <c r="O32" s="322" t="s">
        <v>326</v>
      </c>
      <c r="P32" s="1"/>
      <c r="Q32" s="1"/>
      <c r="S32" s="1"/>
      <c r="T32" s="256"/>
    </row>
    <row r="33" spans="1:20" ht="15.75" customHeight="1">
      <c r="A33" s="1"/>
      <c r="B33" s="250"/>
      <c r="C33" s="271" t="s">
        <v>184</v>
      </c>
      <c r="D33" s="288">
        <f>IF(D7="Water",1,"N/A")</f>
        <v>1</v>
      </c>
      <c r="E33" s="260" t="s">
        <v>10</v>
      </c>
      <c r="G33" s="1"/>
      <c r="H33" s="1"/>
      <c r="I33" s="1"/>
      <c r="J33" s="1"/>
      <c r="K33" s="242" t="s">
        <v>349</v>
      </c>
      <c r="L33" s="225"/>
      <c r="M33" s="228"/>
      <c r="O33" s="247" t="s">
        <v>375</v>
      </c>
      <c r="P33" s="225"/>
      <c r="Q33" s="225"/>
      <c r="R33" s="228"/>
      <c r="S33" s="1"/>
      <c r="T33" s="256"/>
    </row>
    <row r="34" spans="2:20" ht="15.75">
      <c r="B34" s="250"/>
      <c r="C34" s="1"/>
      <c r="D34" s="1"/>
      <c r="E34" s="1"/>
      <c r="G34" s="1"/>
      <c r="H34" s="1"/>
      <c r="I34" s="1"/>
      <c r="J34" s="1"/>
      <c r="K34" s="223" t="s">
        <v>348</v>
      </c>
      <c r="L34" s="140" t="s">
        <v>347</v>
      </c>
      <c r="M34" s="229"/>
      <c r="O34" s="241" t="s">
        <v>298</v>
      </c>
      <c r="P34" s="1"/>
      <c r="Q34" s="1"/>
      <c r="R34" s="229"/>
      <c r="S34" s="1"/>
      <c r="T34" s="256"/>
    </row>
    <row r="35" spans="2:20" ht="15.75">
      <c r="B35" s="250"/>
      <c r="C35" s="1"/>
      <c r="D35" s="1"/>
      <c r="E35" s="1"/>
      <c r="G35" s="1"/>
      <c r="H35" s="1"/>
      <c r="I35" s="1"/>
      <c r="J35" s="1"/>
      <c r="K35" s="263" t="s">
        <v>264</v>
      </c>
      <c r="L35" s="17">
        <f>H17</f>
        <v>11.696378878900823</v>
      </c>
      <c r="M35" s="265" t="s">
        <v>175</v>
      </c>
      <c r="O35" s="241"/>
      <c r="P35" s="1"/>
      <c r="Q35" s="1"/>
      <c r="R35" s="229"/>
      <c r="S35" s="1"/>
      <c r="T35" s="256"/>
    </row>
    <row r="36" spans="2:20" ht="15.75">
      <c r="B36" s="250"/>
      <c r="C36" s="238" t="s">
        <v>272</v>
      </c>
      <c r="D36" s="225"/>
      <c r="E36" s="228"/>
      <c r="G36" s="1"/>
      <c r="H36" s="1"/>
      <c r="I36" s="1"/>
      <c r="J36" s="1"/>
      <c r="K36" s="223" t="s">
        <v>346</v>
      </c>
      <c r="L36" s="15">
        <f>H45</f>
        <v>11.696379979457443</v>
      </c>
      <c r="M36" s="265" t="s">
        <v>175</v>
      </c>
      <c r="O36" s="241"/>
      <c r="P36" s="1"/>
      <c r="Q36" s="1"/>
      <c r="R36" s="324" t="s">
        <v>376</v>
      </c>
      <c r="S36" s="1"/>
      <c r="T36" s="256"/>
    </row>
    <row r="37" spans="2:20" ht="15.75">
      <c r="B37" s="250"/>
      <c r="C37" s="261" t="s">
        <v>300</v>
      </c>
      <c r="D37" s="1"/>
      <c r="E37" s="229"/>
      <c r="G37" s="224" t="s">
        <v>346</v>
      </c>
      <c r="H37" s="264" t="s">
        <v>345</v>
      </c>
      <c r="I37" s="228"/>
      <c r="J37" s="1"/>
      <c r="K37" s="223" t="s">
        <v>348</v>
      </c>
      <c r="L37" s="266">
        <f>L35-L36</f>
        <v>-1.1005566200594785E-06</v>
      </c>
      <c r="M37" s="265" t="s">
        <v>175</v>
      </c>
      <c r="O37" s="241"/>
      <c r="P37" s="1"/>
      <c r="Q37" s="1"/>
      <c r="R37" s="229"/>
      <c r="S37" s="1"/>
      <c r="T37" s="256"/>
    </row>
    <row r="38" spans="2:20" ht="12.75">
      <c r="B38" s="250"/>
      <c r="C38" s="223" t="s">
        <v>181</v>
      </c>
      <c r="D38" s="140">
        <f>H9</f>
        <v>0</v>
      </c>
      <c r="E38" s="229" t="s">
        <v>10</v>
      </c>
      <c r="G38" s="223" t="s">
        <v>173</v>
      </c>
      <c r="H38" s="24">
        <f>D42</f>
        <v>0.5961541210395834</v>
      </c>
      <c r="I38" s="229" t="s">
        <v>10</v>
      </c>
      <c r="J38" s="1"/>
      <c r="K38" s="241"/>
      <c r="L38" s="214" t="s">
        <v>0</v>
      </c>
      <c r="M38" s="229"/>
      <c r="O38" s="263" t="s">
        <v>1</v>
      </c>
      <c r="P38" s="8" t="s">
        <v>210</v>
      </c>
      <c r="Q38" s="8"/>
      <c r="R38" s="265"/>
      <c r="S38" s="1"/>
      <c r="T38" s="256"/>
    </row>
    <row r="39" spans="2:20" ht="12.75">
      <c r="B39" s="250"/>
      <c r="C39" s="223" t="s">
        <v>182</v>
      </c>
      <c r="D39" s="140">
        <f>H10</f>
        <v>0</v>
      </c>
      <c r="E39" s="229" t="s">
        <v>10</v>
      </c>
      <c r="G39" s="223" t="s">
        <v>184</v>
      </c>
      <c r="H39" s="15">
        <f>D33</f>
        <v>1</v>
      </c>
      <c r="I39" s="229" t="s">
        <v>10</v>
      </c>
      <c r="J39" s="1"/>
      <c r="K39" s="241"/>
      <c r="L39" s="1"/>
      <c r="M39" s="229"/>
      <c r="O39" s="308" t="s">
        <v>361</v>
      </c>
      <c r="P39" s="309"/>
      <c r="Q39" s="309"/>
      <c r="R39" s="310"/>
      <c r="S39" s="1"/>
      <c r="T39" s="256"/>
    </row>
    <row r="40" spans="2:20" ht="12.75">
      <c r="B40" s="250"/>
      <c r="C40" s="223" t="s">
        <v>183</v>
      </c>
      <c r="D40" s="146">
        <f>P19</f>
        <v>9662922.45339215</v>
      </c>
      <c r="E40" s="229" t="s">
        <v>10</v>
      </c>
      <c r="G40" s="223" t="s">
        <v>192</v>
      </c>
      <c r="H40" s="17">
        <f>D47</f>
        <v>1.0000013452127456</v>
      </c>
      <c r="I40" s="229" t="s">
        <v>10</v>
      </c>
      <c r="J40" s="1"/>
      <c r="K40" s="340" t="str">
        <f>IF(ABS(L37)&lt;0.0001,"Iteration finished","Click in Calculate for iteration")</f>
        <v>Iteration finished</v>
      </c>
      <c r="L40" s="341"/>
      <c r="M40" s="342"/>
      <c r="O40" s="241"/>
      <c r="P40" s="1"/>
      <c r="Q40" s="1"/>
      <c r="R40" s="229"/>
      <c r="S40" s="1"/>
      <c r="T40" s="256"/>
    </row>
    <row r="41" spans="2:20" ht="12.75">
      <c r="B41" s="250"/>
      <c r="C41" s="223" t="s">
        <v>184</v>
      </c>
      <c r="D41" s="159">
        <f>D33</f>
        <v>1</v>
      </c>
      <c r="E41" s="229" t="s">
        <v>10</v>
      </c>
      <c r="G41" s="223" t="s">
        <v>25</v>
      </c>
      <c r="H41" s="23">
        <f>H13</f>
        <v>0.00046376976150455933</v>
      </c>
      <c r="I41" s="229" t="s">
        <v>26</v>
      </c>
      <c r="J41" s="1"/>
      <c r="K41" s="219" t="s">
        <v>0</v>
      </c>
      <c r="L41" s="1"/>
      <c r="M41" s="1"/>
      <c r="O41" s="306" t="s">
        <v>249</v>
      </c>
      <c r="P41" s="312">
        <f>P25</f>
        <v>0.0405</v>
      </c>
      <c r="Q41" s="311" t="str">
        <f>IF(P41&lt;0.3,"OK. Beta &lt; 0.3","bata &gt; 0.3. Use othe equation")</f>
        <v>OK. Beta &lt; 0.3</v>
      </c>
      <c r="R41" s="307"/>
      <c r="S41" s="1"/>
      <c r="T41" s="256"/>
    </row>
    <row r="42" spans="2:20" ht="13.5" thickBot="1">
      <c r="B42" s="250"/>
      <c r="C42" s="271" t="s">
        <v>173</v>
      </c>
      <c r="D42" s="300">
        <f>0.5961+0.0261*P25^2-0.216*P25^8+0.000521*(P25*1000000/D40)^0.7+(0.0188+0.0063*(19000*P25/D40)^0.8)*(1000000/D40)*P25^3.5+(0.043+0.08*D41*(-7*D38))*(1-0.11)*(19000*P25/D40)^0.8*(P25^4/(1-P25^4))-0.031*((2*D39/(1-P25))-0.8*(2*D39/(1-P25))^1.1)*P25^1.3</f>
        <v>0.5961541210395834</v>
      </c>
      <c r="E42" s="230"/>
      <c r="G42" s="223" t="s">
        <v>188</v>
      </c>
      <c r="H42" s="165">
        <f>D15</f>
        <v>69047</v>
      </c>
      <c r="I42" s="229" t="s">
        <v>168</v>
      </c>
      <c r="J42" s="1"/>
      <c r="K42" s="1"/>
      <c r="L42" s="1"/>
      <c r="M42" s="1"/>
      <c r="O42" s="263" t="s">
        <v>173</v>
      </c>
      <c r="P42" s="313">
        <v>0.61</v>
      </c>
      <c r="Q42" s="8" t="s">
        <v>299</v>
      </c>
      <c r="R42" s="265"/>
      <c r="S42" s="1"/>
      <c r="T42" s="256"/>
    </row>
    <row r="43" spans="2:20" ht="15">
      <c r="B43" s="250"/>
      <c r="C43" s="1"/>
      <c r="D43" s="1"/>
      <c r="E43" s="1"/>
      <c r="G43" s="223" t="s">
        <v>203</v>
      </c>
      <c r="H43" s="22">
        <f>L19</f>
        <v>1000</v>
      </c>
      <c r="I43" s="245" t="s">
        <v>194</v>
      </c>
      <c r="J43" s="1"/>
      <c r="K43" s="333" t="s">
        <v>352</v>
      </c>
      <c r="L43" s="334"/>
      <c r="M43" s="337"/>
      <c r="O43" s="263" t="s">
        <v>17</v>
      </c>
      <c r="P43" s="233">
        <f>D19</f>
        <v>24.3</v>
      </c>
      <c r="Q43" s="8" t="s">
        <v>3</v>
      </c>
      <c r="R43" s="265"/>
      <c r="S43" s="1"/>
      <c r="T43" s="256"/>
    </row>
    <row r="44" spans="2:20" ht="12.75">
      <c r="B44" s="250"/>
      <c r="C44" s="238" t="s">
        <v>360</v>
      </c>
      <c r="D44" s="225"/>
      <c r="E44" s="228"/>
      <c r="G44" s="263" t="s">
        <v>1</v>
      </c>
      <c r="H44" s="159">
        <f>H38*H39*H40*H41*(2*H42/H43)^0.5</f>
        <v>0.003248994438738179</v>
      </c>
      <c r="I44" s="265" t="s">
        <v>177</v>
      </c>
      <c r="J44" s="1"/>
      <c r="K44" s="332" t="s">
        <v>353</v>
      </c>
      <c r="L44" s="1"/>
      <c r="M44" s="338"/>
      <c r="O44" s="263" t="s">
        <v>174</v>
      </c>
      <c r="P44" s="314">
        <f>D15/g/1000</f>
        <v>7.040834535748702</v>
      </c>
      <c r="Q44" s="8" t="s">
        <v>5</v>
      </c>
      <c r="R44" s="265"/>
      <c r="S44" s="1"/>
      <c r="T44" s="256"/>
    </row>
    <row r="45" spans="2:20" ht="15.75" thickBot="1">
      <c r="B45" s="250"/>
      <c r="C45" s="223" t="s">
        <v>192</v>
      </c>
      <c r="D45" s="1" t="s">
        <v>193</v>
      </c>
      <c r="E45" s="229"/>
      <c r="G45" s="271" t="s">
        <v>346</v>
      </c>
      <c r="H45" s="270">
        <f>H44*3600</f>
        <v>11.696379979457443</v>
      </c>
      <c r="I45" s="260" t="s">
        <v>175</v>
      </c>
      <c r="J45" s="1"/>
      <c r="K45" s="335" t="s">
        <v>1</v>
      </c>
      <c r="L45" s="336">
        <f>IF(ABS(L37)&lt;0.001,L36,"")</f>
        <v>11.696379979457443</v>
      </c>
      <c r="M45" s="339" t="s">
        <v>175</v>
      </c>
      <c r="O45" s="294" t="s">
        <v>1</v>
      </c>
      <c r="P45" s="270">
        <f>0.01252*P42*P43^2*(P44)^0.5</f>
        <v>11.966269515374506</v>
      </c>
      <c r="Q45" s="304" t="s">
        <v>175</v>
      </c>
      <c r="R45" s="260"/>
      <c r="S45" s="1"/>
      <c r="T45" s="256"/>
    </row>
    <row r="46" spans="2:20" ht="12.75">
      <c r="B46" s="250"/>
      <c r="C46" s="223" t="s">
        <v>180</v>
      </c>
      <c r="D46" s="301">
        <f>P25</f>
        <v>0.0405</v>
      </c>
      <c r="E46" s="229" t="s">
        <v>10</v>
      </c>
      <c r="G46" s="1"/>
      <c r="H46" s="1"/>
      <c r="I46" s="1"/>
      <c r="J46" s="1"/>
      <c r="K46" s="1"/>
      <c r="L46" s="1"/>
      <c r="M46" s="1"/>
      <c r="O46" s="1"/>
      <c r="R46" s="211"/>
      <c r="T46" s="256"/>
    </row>
    <row r="47" spans="2:20" ht="12.75">
      <c r="B47" s="250"/>
      <c r="C47" s="271" t="s">
        <v>192</v>
      </c>
      <c r="D47" s="302">
        <f>(1/(1-D46^4))^0.5</f>
        <v>1.0000013452127456</v>
      </c>
      <c r="E47" s="230" t="s">
        <v>10</v>
      </c>
      <c r="G47" s="1"/>
      <c r="H47" s="1"/>
      <c r="I47" s="1"/>
      <c r="J47" s="1"/>
      <c r="K47" s="1"/>
      <c r="L47" s="1"/>
      <c r="M47" s="1"/>
      <c r="O47" s="1"/>
      <c r="R47" s="211"/>
      <c r="T47" s="256"/>
    </row>
    <row r="48" spans="2:20" ht="12.75">
      <c r="B48" s="250"/>
      <c r="C48" s="1"/>
      <c r="D48" s="1"/>
      <c r="E48" s="1"/>
      <c r="G48" s="1"/>
      <c r="H48" s="1"/>
      <c r="I48" s="1"/>
      <c r="J48" s="1"/>
      <c r="K48" s="1"/>
      <c r="L48" s="1"/>
      <c r="M48" s="1"/>
      <c r="O48" s="1"/>
      <c r="R48" s="211"/>
      <c r="T48" s="256"/>
    </row>
    <row r="49" spans="2:20" ht="12.75">
      <c r="B49" s="250"/>
      <c r="C49" s="1"/>
      <c r="D49" s="1"/>
      <c r="E49" s="1"/>
      <c r="G49" s="1"/>
      <c r="H49" s="1"/>
      <c r="I49" s="1"/>
      <c r="J49" s="1"/>
      <c r="K49" s="1"/>
      <c r="L49" s="1"/>
      <c r="M49" s="1"/>
      <c r="O49" s="1"/>
      <c r="P49" s="1"/>
      <c r="Q49" s="1"/>
      <c r="S49" s="1"/>
      <c r="T49" s="256"/>
    </row>
    <row r="50" spans="2:20" ht="12.75">
      <c r="B50" s="250"/>
      <c r="C50" s="7"/>
      <c r="D50" s="7"/>
      <c r="E50" s="1"/>
      <c r="G50" s="1"/>
      <c r="H50" s="1"/>
      <c r="I50" s="1"/>
      <c r="J50" s="1"/>
      <c r="K50" s="1"/>
      <c r="L50" s="1"/>
      <c r="M50" s="1"/>
      <c r="O50" s="1"/>
      <c r="P50" s="1"/>
      <c r="Q50" s="1"/>
      <c r="S50" s="1"/>
      <c r="T50" s="256"/>
    </row>
    <row r="51" spans="2:20" ht="12.75">
      <c r="B51" s="250"/>
      <c r="C51" s="1" t="s">
        <v>0</v>
      </c>
      <c r="D51" s="7"/>
      <c r="E51" s="1"/>
      <c r="G51" s="1"/>
      <c r="H51" s="1"/>
      <c r="I51" s="1"/>
      <c r="J51" s="1"/>
      <c r="K51" s="1"/>
      <c r="L51" s="1"/>
      <c r="M51" s="1"/>
      <c r="O51" s="1"/>
      <c r="P51" s="1"/>
      <c r="Q51" s="1"/>
      <c r="S51" s="1"/>
      <c r="T51" s="256"/>
    </row>
    <row r="52" spans="2:20" ht="12.75">
      <c r="B52" s="250"/>
      <c r="C52" s="7" t="s">
        <v>362</v>
      </c>
      <c r="D52" s="7"/>
      <c r="E52" s="1"/>
      <c r="G52" s="7"/>
      <c r="H52" s="17"/>
      <c r="I52" s="1"/>
      <c r="J52" s="1"/>
      <c r="K52" s="1"/>
      <c r="L52" s="1"/>
      <c r="M52" s="1"/>
      <c r="O52" s="1"/>
      <c r="P52" s="1"/>
      <c r="Q52" s="1"/>
      <c r="S52" s="1"/>
      <c r="T52" s="256"/>
    </row>
    <row r="53" spans="2:20" ht="12.75">
      <c r="B53" s="250"/>
      <c r="C53" s="305" t="s">
        <v>213</v>
      </c>
      <c r="D53" s="1"/>
      <c r="E53" s="1"/>
      <c r="G53" s="1"/>
      <c r="H53" s="1"/>
      <c r="I53" s="1"/>
      <c r="J53" s="1"/>
      <c r="K53" s="1"/>
      <c r="L53" s="1"/>
      <c r="M53" s="1"/>
      <c r="O53" s="1"/>
      <c r="P53" s="1"/>
      <c r="Q53" s="1"/>
      <c r="S53" s="1"/>
      <c r="T53" s="256"/>
    </row>
    <row r="54" spans="2:20" ht="12.75">
      <c r="B54" s="250"/>
      <c r="C54" s="1" t="s">
        <v>0</v>
      </c>
      <c r="D54" s="1"/>
      <c r="E54" s="1"/>
      <c r="G54" s="1"/>
      <c r="H54" s="1"/>
      <c r="I54" s="1"/>
      <c r="J54" s="1"/>
      <c r="K54" s="1"/>
      <c r="L54" s="1"/>
      <c r="M54" s="1"/>
      <c r="O54" s="1"/>
      <c r="P54" s="1"/>
      <c r="Q54" s="1"/>
      <c r="S54" s="1"/>
      <c r="T54" s="256"/>
    </row>
    <row r="55" spans="2:20" ht="12.75">
      <c r="B55" s="250"/>
      <c r="C55" s="1"/>
      <c r="D55" s="1"/>
      <c r="E55" s="1"/>
      <c r="G55" s="1"/>
      <c r="H55" s="1"/>
      <c r="I55" s="1"/>
      <c r="J55" s="1"/>
      <c r="K55" s="1"/>
      <c r="L55" s="1"/>
      <c r="M55" s="1"/>
      <c r="O55" s="1"/>
      <c r="P55" s="1"/>
      <c r="Q55" s="1"/>
      <c r="S55" s="1"/>
      <c r="T55" s="256"/>
    </row>
    <row r="56" spans="2:20" ht="12.75">
      <c r="B56" s="250"/>
      <c r="C56" s="1"/>
      <c r="D56" s="1"/>
      <c r="E56" s="1"/>
      <c r="G56" s="1"/>
      <c r="H56" s="1"/>
      <c r="I56" s="1"/>
      <c r="J56" s="1"/>
      <c r="K56" s="1"/>
      <c r="L56" s="1"/>
      <c r="M56" s="1"/>
      <c r="O56" s="1"/>
      <c r="P56" s="1"/>
      <c r="Q56" s="1"/>
      <c r="S56" s="1"/>
      <c r="T56" s="256"/>
    </row>
    <row r="57" spans="2:20" ht="13.5" thickBot="1">
      <c r="B57" s="253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7"/>
    </row>
    <row r="58" spans="6:18" ht="13.5" thickTop="1">
      <c r="F58" s="211"/>
      <c r="N58" s="211"/>
      <c r="R58" s="211"/>
    </row>
    <row r="59" spans="14:18" ht="13.5" thickBot="1">
      <c r="N59" s="211"/>
      <c r="R59" s="211"/>
    </row>
    <row r="60" spans="2:20" ht="13.5" thickTop="1">
      <c r="B60" s="251"/>
      <c r="C60" s="252" t="s">
        <v>0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84" t="s">
        <v>354</v>
      </c>
    </row>
    <row r="61" spans="2:20" ht="12.75">
      <c r="B61" s="250"/>
      <c r="C61" s="1"/>
      <c r="D61" s="1"/>
      <c r="E61" s="1"/>
      <c r="G61" s="1"/>
      <c r="H61" s="1"/>
      <c r="I61" s="1"/>
      <c r="J61" s="1"/>
      <c r="K61" s="1"/>
      <c r="L61" s="1"/>
      <c r="M61" s="1"/>
      <c r="O61" s="1"/>
      <c r="P61" s="1"/>
      <c r="Q61" s="1"/>
      <c r="S61" s="1"/>
      <c r="T61" s="256"/>
    </row>
    <row r="62" spans="2:20" ht="12.75">
      <c r="B62" s="250"/>
      <c r="C62" s="1"/>
      <c r="D62" s="1"/>
      <c r="E62" s="1"/>
      <c r="G62" s="1"/>
      <c r="H62" s="1"/>
      <c r="I62" s="1"/>
      <c r="J62" s="1"/>
      <c r="K62" s="1"/>
      <c r="L62" s="1"/>
      <c r="M62" s="1"/>
      <c r="O62" s="1"/>
      <c r="P62" s="1"/>
      <c r="Q62" s="1"/>
      <c r="S62" s="1"/>
      <c r="T62" s="256"/>
    </row>
    <row r="63" spans="2:20" ht="12.75">
      <c r="B63" s="250"/>
      <c r="C63" s="1"/>
      <c r="D63" s="1"/>
      <c r="E63" s="1"/>
      <c r="G63" s="1"/>
      <c r="H63" s="1"/>
      <c r="I63" s="1"/>
      <c r="J63" s="1"/>
      <c r="K63" s="1"/>
      <c r="L63" s="1"/>
      <c r="M63" s="1"/>
      <c r="O63" s="1"/>
      <c r="P63" s="1"/>
      <c r="Q63" s="1"/>
      <c r="S63" s="1"/>
      <c r="T63" s="256"/>
    </row>
    <row r="64" spans="2:20" ht="12.75">
      <c r="B64" s="250"/>
      <c r="C64" s="1"/>
      <c r="D64" s="1"/>
      <c r="E64" s="1"/>
      <c r="G64" s="1"/>
      <c r="H64" s="1"/>
      <c r="I64" s="1"/>
      <c r="J64" s="1"/>
      <c r="K64" s="1"/>
      <c r="L64" s="1"/>
      <c r="M64" s="1"/>
      <c r="O64" s="1"/>
      <c r="P64" s="1"/>
      <c r="Q64" s="1"/>
      <c r="S64" s="1"/>
      <c r="T64" s="256"/>
    </row>
    <row r="65" spans="2:20" ht="12.75">
      <c r="B65" s="250"/>
      <c r="C65" s="1"/>
      <c r="D65" s="1"/>
      <c r="E65" s="1"/>
      <c r="G65" s="1"/>
      <c r="H65" s="1"/>
      <c r="I65" s="1"/>
      <c r="J65" s="1"/>
      <c r="K65" s="1"/>
      <c r="L65" s="1"/>
      <c r="M65" s="1"/>
      <c r="O65" s="1"/>
      <c r="P65" s="1"/>
      <c r="Q65" s="1"/>
      <c r="S65" s="1"/>
      <c r="T65" s="256"/>
    </row>
    <row r="66" spans="2:20" ht="12.75">
      <c r="B66" s="250"/>
      <c r="C66" s="1"/>
      <c r="D66" s="1"/>
      <c r="E66" s="1"/>
      <c r="G66" s="1"/>
      <c r="H66" s="1"/>
      <c r="I66" s="1"/>
      <c r="J66" s="1"/>
      <c r="K66" s="1"/>
      <c r="L66" s="1"/>
      <c r="M66" s="1"/>
      <c r="O66" s="1"/>
      <c r="P66" s="1"/>
      <c r="Q66" s="1"/>
      <c r="S66" s="1"/>
      <c r="T66" s="256"/>
    </row>
    <row r="67" spans="2:20" ht="14.25">
      <c r="B67" s="250"/>
      <c r="C67" s="1" t="s">
        <v>366</v>
      </c>
      <c r="D67" s="1"/>
      <c r="E67" s="1"/>
      <c r="G67" s="1" t="s">
        <v>234</v>
      </c>
      <c r="H67" s="1"/>
      <c r="I67" s="1"/>
      <c r="J67" s="1"/>
      <c r="K67" s="1"/>
      <c r="L67" s="1"/>
      <c r="M67" s="1"/>
      <c r="O67" s="1"/>
      <c r="P67" s="1"/>
      <c r="Q67" s="1"/>
      <c r="S67" s="1"/>
      <c r="T67" s="256"/>
    </row>
    <row r="68" spans="2:20" ht="12.75">
      <c r="B68" s="250"/>
      <c r="C68" s="1" t="s">
        <v>367</v>
      </c>
      <c r="D68" s="1"/>
      <c r="E68" s="1"/>
      <c r="G68" s="1" t="s">
        <v>231</v>
      </c>
      <c r="H68" s="186" t="s">
        <v>216</v>
      </c>
      <c r="I68" s="1"/>
      <c r="J68" s="1" t="s">
        <v>212</v>
      </c>
      <c r="K68" s="1"/>
      <c r="L68" s="1"/>
      <c r="M68" s="1"/>
      <c r="O68" s="1"/>
      <c r="P68" s="1"/>
      <c r="Q68" s="1"/>
      <c r="S68" s="1"/>
      <c r="T68" s="256"/>
    </row>
    <row r="69" spans="2:20" ht="12.75">
      <c r="B69" s="250"/>
      <c r="C69" s="1" t="s">
        <v>277</v>
      </c>
      <c r="D69" s="1"/>
      <c r="E69" s="1"/>
      <c r="G69" s="1" t="s">
        <v>231</v>
      </c>
      <c r="H69" s="167" t="s">
        <v>218</v>
      </c>
      <c r="I69" s="1"/>
      <c r="J69" s="1"/>
      <c r="K69" s="1"/>
      <c r="L69" s="1"/>
      <c r="M69" s="1"/>
      <c r="O69" s="1"/>
      <c r="P69" s="1"/>
      <c r="Q69" s="1"/>
      <c r="S69" s="1"/>
      <c r="T69" s="256"/>
    </row>
    <row r="70" spans="2:20" ht="12.75">
      <c r="B70" s="250"/>
      <c r="C70" s="1"/>
      <c r="D70" s="1"/>
      <c r="E70" s="1"/>
      <c r="G70" s="1"/>
      <c r="H70" s="1" t="s">
        <v>289</v>
      </c>
      <c r="I70" s="1"/>
      <c r="J70" s="1"/>
      <c r="K70" s="1"/>
      <c r="L70" s="1"/>
      <c r="M70" s="1"/>
      <c r="O70" s="1"/>
      <c r="P70" s="1"/>
      <c r="Q70" s="1"/>
      <c r="S70" s="1"/>
      <c r="T70" s="256"/>
    </row>
    <row r="71" spans="2:20" ht="12.75">
      <c r="B71" s="250"/>
      <c r="C71" s="1" t="s">
        <v>278</v>
      </c>
      <c r="D71" s="1"/>
      <c r="E71" s="1"/>
      <c r="G71" s="1" t="s">
        <v>231</v>
      </c>
      <c r="H71" s="34" t="s">
        <v>238</v>
      </c>
      <c r="I71" s="1"/>
      <c r="J71" s="1"/>
      <c r="K71" s="1"/>
      <c r="L71" s="1"/>
      <c r="M71" s="1"/>
      <c r="O71" s="1"/>
      <c r="P71" s="1"/>
      <c r="Q71" s="1"/>
      <c r="S71" s="1"/>
      <c r="T71" s="256"/>
    </row>
    <row r="72" spans="2:20" ht="12.75">
      <c r="B72" s="250"/>
      <c r="C72" s="1" t="s">
        <v>279</v>
      </c>
      <c r="D72" s="1"/>
      <c r="E72" s="1"/>
      <c r="G72" s="1" t="s">
        <v>233</v>
      </c>
      <c r="H72" s="8" t="s">
        <v>220</v>
      </c>
      <c r="I72" s="1"/>
      <c r="J72" s="1"/>
      <c r="K72" s="1"/>
      <c r="L72" s="1"/>
      <c r="M72" s="1"/>
      <c r="O72" s="1"/>
      <c r="P72" s="1"/>
      <c r="Q72" s="1"/>
      <c r="S72" s="1"/>
      <c r="T72" s="256"/>
    </row>
    <row r="73" spans="2:20" ht="15.75">
      <c r="B73" s="250"/>
      <c r="C73" s="34" t="s">
        <v>280</v>
      </c>
      <c r="D73" s="1"/>
      <c r="E73" s="1"/>
      <c r="G73" s="1" t="s">
        <v>228</v>
      </c>
      <c r="H73" s="34" t="s">
        <v>221</v>
      </c>
      <c r="I73" s="1"/>
      <c r="J73" s="1"/>
      <c r="K73" s="1"/>
      <c r="L73" s="1"/>
      <c r="M73" s="1"/>
      <c r="O73" s="1"/>
      <c r="P73" s="1"/>
      <c r="Q73" s="1"/>
      <c r="S73" s="1"/>
      <c r="T73" s="256"/>
    </row>
    <row r="74" spans="2:20" ht="14.25">
      <c r="B74" s="250"/>
      <c r="C74" s="8" t="s">
        <v>281</v>
      </c>
      <c r="D74" s="1"/>
      <c r="E74" s="1"/>
      <c r="G74" s="34" t="s">
        <v>230</v>
      </c>
      <c r="H74" s="1"/>
      <c r="I74" s="1"/>
      <c r="J74" s="1"/>
      <c r="K74" s="1"/>
      <c r="L74" s="1"/>
      <c r="M74" s="1"/>
      <c r="O74" s="1"/>
      <c r="P74" s="1"/>
      <c r="Q74" s="1"/>
      <c r="S74" s="1"/>
      <c r="T74" s="256"/>
    </row>
    <row r="75" spans="2:20" ht="12.75">
      <c r="B75" s="250"/>
      <c r="C75" s="8" t="s">
        <v>282</v>
      </c>
      <c r="D75" s="1"/>
      <c r="E75" s="1"/>
      <c r="G75" s="1" t="s">
        <v>231</v>
      </c>
      <c r="H75" s="1"/>
      <c r="I75" s="1"/>
      <c r="J75" s="1"/>
      <c r="K75" s="1"/>
      <c r="L75" s="1"/>
      <c r="M75" s="1"/>
      <c r="O75" s="1"/>
      <c r="P75" s="1"/>
      <c r="Q75" s="1"/>
      <c r="S75" s="1"/>
      <c r="T75" s="256"/>
    </row>
    <row r="76" spans="2:20" ht="12.75">
      <c r="B76" s="250"/>
      <c r="C76" s="8" t="s">
        <v>283</v>
      </c>
      <c r="D76" s="1"/>
      <c r="E76" s="1"/>
      <c r="G76" s="1"/>
      <c r="H76" s="1"/>
      <c r="I76" s="1"/>
      <c r="J76" s="1"/>
      <c r="K76" s="1"/>
      <c r="L76" s="1"/>
      <c r="M76" s="1"/>
      <c r="O76" s="1"/>
      <c r="P76" s="1"/>
      <c r="Q76" s="1"/>
      <c r="S76" s="1"/>
      <c r="T76" s="256"/>
    </row>
    <row r="77" spans="2:20" ht="15.75">
      <c r="B77" s="250"/>
      <c r="C77" s="8" t="s">
        <v>284</v>
      </c>
      <c r="D77" s="1"/>
      <c r="E77" s="1"/>
      <c r="G77" s="8" t="s">
        <v>232</v>
      </c>
      <c r="H77" s="1"/>
      <c r="I77" s="1"/>
      <c r="J77" s="1"/>
      <c r="K77" s="1"/>
      <c r="L77" s="1"/>
      <c r="M77" s="1"/>
      <c r="O77" s="1"/>
      <c r="P77" s="1"/>
      <c r="Q77" s="1"/>
      <c r="S77" s="1"/>
      <c r="T77" s="256"/>
    </row>
    <row r="78" spans="2:20" ht="15.75">
      <c r="B78" s="250"/>
      <c r="C78" s="8" t="s">
        <v>285</v>
      </c>
      <c r="D78" s="1"/>
      <c r="E78" s="1"/>
      <c r="G78" s="8" t="s">
        <v>232</v>
      </c>
      <c r="H78" s="1"/>
      <c r="I78" s="1"/>
      <c r="J78" s="1"/>
      <c r="K78" s="1"/>
      <c r="L78" s="1"/>
      <c r="M78" s="1"/>
      <c r="O78" s="1"/>
      <c r="P78" s="1"/>
      <c r="Q78" s="1"/>
      <c r="S78" s="1"/>
      <c r="T78" s="256"/>
    </row>
    <row r="79" spans="2:20" ht="15.75">
      <c r="B79" s="250"/>
      <c r="C79" s="1" t="s">
        <v>286</v>
      </c>
      <c r="D79" s="1"/>
      <c r="E79" s="1"/>
      <c r="G79" s="34" t="s">
        <v>237</v>
      </c>
      <c r="H79" s="1"/>
      <c r="I79" s="1"/>
      <c r="J79" s="1"/>
      <c r="K79" s="1"/>
      <c r="L79" s="1"/>
      <c r="M79" s="1"/>
      <c r="O79" s="1"/>
      <c r="P79" s="1"/>
      <c r="Q79" s="1"/>
      <c r="S79" s="1"/>
      <c r="T79" s="256"/>
    </row>
    <row r="80" spans="2:20" ht="12.75">
      <c r="B80" s="250"/>
      <c r="C80" s="8" t="s">
        <v>287</v>
      </c>
      <c r="D80" s="1"/>
      <c r="E80" s="1"/>
      <c r="G80" s="1"/>
      <c r="H80" s="1"/>
      <c r="I80" s="1"/>
      <c r="J80" s="1"/>
      <c r="K80" s="1"/>
      <c r="L80" s="1"/>
      <c r="M80" s="1"/>
      <c r="O80" s="1"/>
      <c r="P80" s="1"/>
      <c r="Q80" s="1"/>
      <c r="S80" s="1"/>
      <c r="T80" s="256"/>
    </row>
    <row r="81" spans="2:20" ht="12.75">
      <c r="B81" s="250"/>
      <c r="C81" s="8" t="s">
        <v>288</v>
      </c>
      <c r="D81" s="1"/>
      <c r="E81" s="1"/>
      <c r="G81" s="1"/>
      <c r="H81" s="1"/>
      <c r="I81" s="1"/>
      <c r="J81" s="1"/>
      <c r="K81" s="1"/>
      <c r="L81" s="1"/>
      <c r="M81" s="1"/>
      <c r="O81" s="1"/>
      <c r="P81" s="1"/>
      <c r="Q81" s="1"/>
      <c r="S81" s="1"/>
      <c r="T81" s="256"/>
    </row>
    <row r="82" spans="2:20" ht="12.75">
      <c r="B82" s="250"/>
      <c r="C82" s="8"/>
      <c r="D82" s="1"/>
      <c r="E82" s="1"/>
      <c r="G82" s="1"/>
      <c r="H82" s="1"/>
      <c r="I82" s="1"/>
      <c r="J82" s="1"/>
      <c r="K82" s="1"/>
      <c r="L82" s="1"/>
      <c r="M82" s="1"/>
      <c r="O82" s="1"/>
      <c r="P82" s="1"/>
      <c r="Q82" s="1"/>
      <c r="S82" s="1"/>
      <c r="T82" s="256"/>
    </row>
    <row r="83" spans="2:20" ht="12.75">
      <c r="B83" s="250"/>
      <c r="C83" s="8"/>
      <c r="D83" s="1"/>
      <c r="E83" s="1"/>
      <c r="G83" s="1"/>
      <c r="H83" s="1"/>
      <c r="I83" s="1"/>
      <c r="J83" s="1"/>
      <c r="K83" s="1"/>
      <c r="L83" s="1"/>
      <c r="M83" s="1"/>
      <c r="O83" s="1"/>
      <c r="P83" s="1"/>
      <c r="Q83" s="1"/>
      <c r="S83" s="1"/>
      <c r="T83" s="256"/>
    </row>
    <row r="84" spans="2:20" ht="12.75">
      <c r="B84" s="250"/>
      <c r="C84" s="8" t="s">
        <v>350</v>
      </c>
      <c r="D84" s="1"/>
      <c r="E84" s="1"/>
      <c r="G84" s="1"/>
      <c r="H84" s="1"/>
      <c r="I84" s="1"/>
      <c r="J84" s="1"/>
      <c r="K84" s="1"/>
      <c r="L84" s="1"/>
      <c r="M84" s="1"/>
      <c r="O84" s="1"/>
      <c r="P84" s="1"/>
      <c r="Q84" s="1"/>
      <c r="S84" s="1"/>
      <c r="T84" s="256"/>
    </row>
    <row r="85" spans="2:20" ht="12.75">
      <c r="B85" s="250"/>
      <c r="C85" s="273" t="s">
        <v>213</v>
      </c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9"/>
      <c r="S85" s="1"/>
      <c r="T85" s="256"/>
    </row>
    <row r="86" spans="2:20" ht="12.75">
      <c r="B86" s="250"/>
      <c r="C86" s="8"/>
      <c r="D86" s="1"/>
      <c r="E86" s="1"/>
      <c r="G86" s="1"/>
      <c r="H86" s="1"/>
      <c r="I86" s="1"/>
      <c r="J86" s="1"/>
      <c r="K86" s="1"/>
      <c r="L86" s="1"/>
      <c r="M86" s="1"/>
      <c r="O86" s="1"/>
      <c r="P86" s="1"/>
      <c r="Q86" s="1"/>
      <c r="S86" s="1"/>
      <c r="T86" s="256"/>
    </row>
    <row r="87" spans="2:20" ht="13.5" thickBot="1">
      <c r="B87" s="253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7"/>
    </row>
    <row r="88" ht="13.5" thickTop="1">
      <c r="F88" s="211"/>
    </row>
    <row r="89" ht="12.75">
      <c r="F89" s="211"/>
    </row>
    <row r="90" ht="12.75">
      <c r="F90" s="211"/>
    </row>
    <row r="91" ht="12.75">
      <c r="F91" s="211"/>
    </row>
    <row r="92" ht="12.75">
      <c r="F92" s="211"/>
    </row>
    <row r="93" ht="12.75">
      <c r="F93" s="211"/>
    </row>
    <row r="94" ht="12.75">
      <c r="F94" s="211"/>
    </row>
    <row r="95" ht="12.75">
      <c r="F95" s="211"/>
    </row>
    <row r="96" ht="12.75">
      <c r="F96" s="211"/>
    </row>
    <row r="97" ht="12.75">
      <c r="F97" s="211"/>
    </row>
    <row r="98" ht="12.75">
      <c r="F98" s="211"/>
    </row>
    <row r="99" ht="12.75">
      <c r="F99" s="211"/>
    </row>
    <row r="100" ht="12.75">
      <c r="F100" s="211"/>
    </row>
    <row r="101" ht="12.75">
      <c r="F101" s="211"/>
    </row>
    <row r="102" ht="12.75">
      <c r="F102" s="211"/>
    </row>
    <row r="103" ht="12.75">
      <c r="F103" s="211"/>
    </row>
    <row r="104" spans="3:6" ht="12.75">
      <c r="C104" s="7"/>
      <c r="D104" s="24"/>
      <c r="E104" s="1"/>
      <c r="F104" s="211"/>
    </row>
    <row r="105" spans="3:6" ht="12.75">
      <c r="C105" s="7"/>
      <c r="D105" s="15"/>
      <c r="E105" s="1"/>
      <c r="F105" s="211"/>
    </row>
    <row r="106" spans="3:6" ht="12.75">
      <c r="C106" s="7"/>
      <c r="D106" s="15"/>
      <c r="E106" s="1"/>
      <c r="F106" s="211"/>
    </row>
  </sheetData>
  <sheetProtection/>
  <mergeCells count="1">
    <mergeCell ref="K40:M40"/>
  </mergeCells>
  <conditionalFormatting sqref="K40">
    <cfRule type="containsText" priority="5" dxfId="2" operator="containsText" text="Iteración terminada">
      <formula>NOT(ISERROR(SEARCH("Iteración terminada",K40)))</formula>
    </cfRule>
    <cfRule type="cellIs" priority="6" dxfId="0" operator="equal">
      <formula>"Hacer click en Calcular para iterar"</formula>
    </cfRule>
    <cfRule type="cellIs" priority="7" dxfId="0" operator="equal">
      <formula>"""Hacer click en Calcular para iterar"""</formula>
    </cfRule>
  </conditionalFormatting>
  <conditionalFormatting sqref="K40">
    <cfRule type="containsText" priority="1" dxfId="0" operator="containsText" text="Click in Calculate for iteration">
      <formula>NOT(ISERROR(SEARCH("Click in Calculate for iteration",K40)))</formula>
    </cfRule>
    <cfRule type="containsText" priority="2" dxfId="2" operator="containsText" text="Iteration finished">
      <formula>NOT(ISERROR(SEARCH("Iteration finished",K40)))</formula>
    </cfRule>
    <cfRule type="cellIs" priority="3" dxfId="0" operator="equal">
      <formula>"Hacer click en Calcular para iterar"</formula>
    </cfRule>
    <cfRule type="cellIs" priority="4" dxfId="0" operator="equal">
      <formula>"""Hacer click en Calcular para iterar"""</formula>
    </cfRule>
  </conditionalFormatting>
  <printOptions/>
  <pageMargins left="0.7" right="0.7" top="0.75" bottom="0.75" header="0.3" footer="0.3"/>
  <pageSetup horizontalDpi="600" verticalDpi="600" orientation="portrait" scale="53" r:id="rId6"/>
  <ignoredErrors>
    <ignoredError sqref="R36" numberStoredAsText="1"/>
  </ignoredErrors>
  <drawing r:id="rId5"/>
  <legacyDrawing r:id="rId4"/>
  <oleObjects>
    <oleObject progId="Equation.3" shapeId="87656649" r:id="rId1"/>
    <oleObject progId="Equation.3" shapeId="87656648" r:id="rId2"/>
    <oleObject progId="Equation.3" shapeId="87656640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theme="4" tint="-0.24997000396251678"/>
  </sheetPr>
  <dimension ref="B1:V104"/>
  <sheetViews>
    <sheetView showGridLines="0" zoomScalePageLayoutView="0" workbookViewId="0" topLeftCell="A1">
      <selection activeCell="C5" sqref="C5"/>
    </sheetView>
  </sheetViews>
  <sheetFormatPr defaultColWidth="10.8515625" defaultRowHeight="12.75"/>
  <cols>
    <col min="1" max="2" width="3.421875" style="211" customWidth="1"/>
    <col min="3" max="3" width="10.8515625" style="211" customWidth="1"/>
    <col min="4" max="4" width="10.7109375" style="211" customWidth="1"/>
    <col min="5" max="5" width="6.7109375" style="211" customWidth="1"/>
    <col min="6" max="6" width="3.421875" style="1" customWidth="1"/>
    <col min="7" max="9" width="10.8515625" style="211" customWidth="1"/>
    <col min="10" max="10" width="7.57421875" style="211" customWidth="1"/>
    <col min="11" max="12" width="10.8515625" style="211" customWidth="1"/>
    <col min="13" max="13" width="7.8515625" style="211" customWidth="1"/>
    <col min="14" max="14" width="5.421875" style="1" customWidth="1"/>
    <col min="15" max="15" width="8.8515625" style="211" customWidth="1"/>
    <col min="16" max="16" width="12.8515625" style="211" customWidth="1"/>
    <col min="17" max="17" width="8.140625" style="211" customWidth="1"/>
    <col min="18" max="18" width="4.28125" style="1" customWidth="1"/>
    <col min="19" max="19" width="10.8515625" style="211" customWidth="1"/>
    <col min="20" max="20" width="12.57421875" style="211" customWidth="1"/>
    <col min="21" max="21" width="10.8515625" style="211" customWidth="1"/>
    <col min="22" max="22" width="4.421875" style="211" customWidth="1"/>
    <col min="23" max="23" width="5.140625" style="211" customWidth="1"/>
    <col min="24" max="16384" width="10.8515625" style="211" customWidth="1"/>
  </cols>
  <sheetData>
    <row r="1" ht="13.5" thickBot="1">
      <c r="U1" s="211" t="str">
        <f>Index!J2</f>
        <v>Rev. cjc. 11.07.2016</v>
      </c>
    </row>
    <row r="2" spans="2:22" ht="13.5" thickTop="1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5"/>
    </row>
    <row r="3" spans="2:22" ht="12.75">
      <c r="B3" s="250"/>
      <c r="C3" s="145" t="s">
        <v>323</v>
      </c>
      <c r="D3" s="186"/>
      <c r="E3" s="186"/>
      <c r="F3" s="186"/>
      <c r="G3" s="186"/>
      <c r="H3" s="1"/>
      <c r="I3" s="186"/>
      <c r="J3" s="186"/>
      <c r="K3" s="186"/>
      <c r="L3" s="1"/>
      <c r="M3" s="186"/>
      <c r="N3" s="186"/>
      <c r="O3" s="186"/>
      <c r="P3" s="186"/>
      <c r="Q3" s="186"/>
      <c r="R3" s="186"/>
      <c r="S3" s="186"/>
      <c r="T3" s="186"/>
      <c r="U3" s="186"/>
      <c r="V3" s="256"/>
    </row>
    <row r="4" spans="2:22" ht="12.75">
      <c r="B4" s="250"/>
      <c r="C4" s="1"/>
      <c r="D4" s="186"/>
      <c r="E4" s="1"/>
      <c r="G4" s="1"/>
      <c r="H4" s="1"/>
      <c r="I4" s="145"/>
      <c r="J4" s="1"/>
      <c r="K4" s="1"/>
      <c r="L4" s="1"/>
      <c r="M4" s="1"/>
      <c r="O4" s="1"/>
      <c r="P4" s="186"/>
      <c r="Q4" s="186"/>
      <c r="R4" s="186"/>
      <c r="S4" s="186"/>
      <c r="T4" s="1"/>
      <c r="U4" s="1"/>
      <c r="V4" s="256"/>
    </row>
    <row r="5" spans="2:22" ht="12.75">
      <c r="B5" s="250"/>
      <c r="C5" s="1" t="s">
        <v>372</v>
      </c>
      <c r="D5" s="1"/>
      <c r="E5" s="1"/>
      <c r="G5" s="1"/>
      <c r="H5" s="1"/>
      <c r="I5" s="145"/>
      <c r="J5" s="1"/>
      <c r="K5" s="1"/>
      <c r="L5" s="1"/>
      <c r="M5" s="1"/>
      <c r="O5" s="1"/>
      <c r="P5" s="186"/>
      <c r="Q5" s="186"/>
      <c r="R5" s="186"/>
      <c r="S5" s="186"/>
      <c r="T5" s="1"/>
      <c r="U5" s="1"/>
      <c r="V5" s="256"/>
    </row>
    <row r="6" spans="2:22" ht="12.75">
      <c r="B6" s="250"/>
      <c r="C6" s="1"/>
      <c r="D6" s="1"/>
      <c r="E6" s="1"/>
      <c r="G6" s="1"/>
      <c r="H6" s="1"/>
      <c r="I6" s="1"/>
      <c r="J6" s="1"/>
      <c r="K6" s="1"/>
      <c r="L6" s="1"/>
      <c r="M6" s="1"/>
      <c r="O6" s="1"/>
      <c r="P6" s="186"/>
      <c r="Q6" s="186"/>
      <c r="R6" s="186"/>
      <c r="S6" s="186"/>
      <c r="T6" s="1"/>
      <c r="U6" s="1"/>
      <c r="V6" s="256"/>
    </row>
    <row r="7" spans="2:22" ht="12.75">
      <c r="B7" s="250"/>
      <c r="C7" s="173" t="s">
        <v>290</v>
      </c>
      <c r="D7" s="189" t="s">
        <v>14</v>
      </c>
      <c r="E7" s="141"/>
      <c r="G7" s="238" t="s">
        <v>334</v>
      </c>
      <c r="H7" s="225"/>
      <c r="I7" s="228"/>
      <c r="J7" s="1"/>
      <c r="K7" s="242" t="s">
        <v>294</v>
      </c>
      <c r="L7" s="225"/>
      <c r="M7" s="228"/>
      <c r="O7" s="238" t="s">
        <v>269</v>
      </c>
      <c r="P7" s="225"/>
      <c r="Q7" s="228"/>
      <c r="S7" s="219" t="s">
        <v>297</v>
      </c>
      <c r="T7" s="1"/>
      <c r="U7" s="1"/>
      <c r="V7" s="256"/>
    </row>
    <row r="8" spans="2:22" ht="15">
      <c r="B8" s="250"/>
      <c r="C8" s="157" t="s">
        <v>291</v>
      </c>
      <c r="D8" s="1"/>
      <c r="E8" s="156"/>
      <c r="G8" s="223" t="s">
        <v>181</v>
      </c>
      <c r="H8" s="233">
        <v>0</v>
      </c>
      <c r="I8" s="229"/>
      <c r="J8" s="1"/>
      <c r="K8" s="237" t="s">
        <v>295</v>
      </c>
      <c r="L8" s="7"/>
      <c r="M8" s="244" t="s">
        <v>0</v>
      </c>
      <c r="O8" s="223" t="s">
        <v>205</v>
      </c>
      <c r="P8" s="7" t="s">
        <v>171</v>
      </c>
      <c r="Q8" s="229"/>
      <c r="S8" s="219" t="s">
        <v>335</v>
      </c>
      <c r="T8" s="1"/>
      <c r="U8" s="1"/>
      <c r="V8" s="256"/>
    </row>
    <row r="9" spans="2:22" ht="12.75">
      <c r="B9" s="250"/>
      <c r="C9" s="154" t="s">
        <v>20</v>
      </c>
      <c r="D9" s="217">
        <v>10</v>
      </c>
      <c r="E9" s="156" t="s">
        <v>6</v>
      </c>
      <c r="G9" s="271" t="s">
        <v>182</v>
      </c>
      <c r="H9" s="233">
        <v>0</v>
      </c>
      <c r="I9" s="230"/>
      <c r="J9" s="1"/>
      <c r="K9" s="223" t="s">
        <v>20</v>
      </c>
      <c r="L9" s="7">
        <f>D9</f>
        <v>10</v>
      </c>
      <c r="M9" s="229" t="s">
        <v>6</v>
      </c>
      <c r="O9" s="223" t="s">
        <v>1</v>
      </c>
      <c r="P9" s="24">
        <f>H17</f>
        <v>0.003302520302354028</v>
      </c>
      <c r="Q9" s="229" t="s">
        <v>177</v>
      </c>
      <c r="S9" s="219" t="s">
        <v>336</v>
      </c>
      <c r="T9" s="1"/>
      <c r="U9" s="1"/>
      <c r="V9" s="256"/>
    </row>
    <row r="10" spans="2:22" ht="12.75">
      <c r="B10" s="250"/>
      <c r="C10" s="157" t="s">
        <v>292</v>
      </c>
      <c r="D10" s="1"/>
      <c r="E10" s="156"/>
      <c r="G10" s="1"/>
      <c r="H10" s="1"/>
      <c r="I10" s="1"/>
      <c r="J10" s="1"/>
      <c r="K10" s="223" t="s">
        <v>250</v>
      </c>
      <c r="L10" s="209" t="s">
        <v>254</v>
      </c>
      <c r="M10" s="229"/>
      <c r="O10" s="223" t="s">
        <v>25</v>
      </c>
      <c r="P10" s="23">
        <f>H12</f>
        <v>0.00046376976150455933</v>
      </c>
      <c r="Q10" s="229" t="s">
        <v>26</v>
      </c>
      <c r="S10" s="219" t="s">
        <v>337</v>
      </c>
      <c r="T10" s="1"/>
      <c r="U10" s="1"/>
      <c r="V10" s="256"/>
    </row>
    <row r="11" spans="2:22" ht="15">
      <c r="B11" s="250"/>
      <c r="C11" s="154" t="s">
        <v>191</v>
      </c>
      <c r="D11" s="169">
        <v>170372</v>
      </c>
      <c r="E11" s="156" t="s">
        <v>168</v>
      </c>
      <c r="G11" s="238" t="s">
        <v>185</v>
      </c>
      <c r="H11" s="239"/>
      <c r="I11" s="228"/>
      <c r="J11" s="1"/>
      <c r="K11" s="223" t="s">
        <v>250</v>
      </c>
      <c r="L11" s="220">
        <f>SaturatedWaterAbsoluteViscosity_t(L9)</f>
        <v>0.0012978899758309126</v>
      </c>
      <c r="M11" s="245" t="s">
        <v>37</v>
      </c>
      <c r="O11" s="271" t="s">
        <v>205</v>
      </c>
      <c r="P11" s="299">
        <f>P9/P10</f>
        <v>7.121034134782763</v>
      </c>
      <c r="Q11" s="230" t="s">
        <v>18</v>
      </c>
      <c r="S11" s="219" t="s">
        <v>338</v>
      </c>
      <c r="T11" s="1"/>
      <c r="U11" s="1"/>
      <c r="V11" s="256"/>
    </row>
    <row r="12" spans="2:22" ht="12.75">
      <c r="B12" s="250"/>
      <c r="C12" s="157" t="s">
        <v>293</v>
      </c>
      <c r="D12" s="1"/>
      <c r="E12" s="156"/>
      <c r="G12" s="271" t="s">
        <v>25</v>
      </c>
      <c r="H12" s="296">
        <f>(PI()/4)*D20^2</f>
        <v>0.00046376976150455933</v>
      </c>
      <c r="I12" s="230" t="s">
        <v>26</v>
      </c>
      <c r="J12" s="1"/>
      <c r="K12" s="241"/>
      <c r="L12" s="1"/>
      <c r="M12" s="229"/>
      <c r="O12" s="1"/>
      <c r="P12" s="1"/>
      <c r="Q12" s="1"/>
      <c r="S12" s="219" t="s">
        <v>364</v>
      </c>
      <c r="T12" s="1"/>
      <c r="U12" s="1"/>
      <c r="V12" s="256"/>
    </row>
    <row r="13" spans="2:22" ht="15">
      <c r="B13" s="250"/>
      <c r="C13" s="154" t="s">
        <v>202</v>
      </c>
      <c r="D13" s="169">
        <v>101325</v>
      </c>
      <c r="E13" s="156" t="s">
        <v>168</v>
      </c>
      <c r="G13" s="1"/>
      <c r="H13" s="1"/>
      <c r="I13" s="1"/>
      <c r="J13" s="1"/>
      <c r="K13" s="241" t="s">
        <v>266</v>
      </c>
      <c r="L13" s="1"/>
      <c r="M13" s="229" t="s">
        <v>0</v>
      </c>
      <c r="O13" s="247" t="s">
        <v>270</v>
      </c>
      <c r="P13" s="225"/>
      <c r="Q13" s="228"/>
      <c r="S13" s="219" t="s">
        <v>365</v>
      </c>
      <c r="T13" s="1"/>
      <c r="U13" s="1"/>
      <c r="V13" s="256"/>
    </row>
    <row r="14" spans="2:22" ht="15">
      <c r="B14" s="250"/>
      <c r="C14" s="157" t="s">
        <v>260</v>
      </c>
      <c r="D14" s="1"/>
      <c r="E14" s="156"/>
      <c r="G14" s="293" t="s">
        <v>263</v>
      </c>
      <c r="H14" s="225"/>
      <c r="I14" s="228"/>
      <c r="J14" s="1"/>
      <c r="K14" s="223" t="s">
        <v>203</v>
      </c>
      <c r="L14" s="1" t="s">
        <v>239</v>
      </c>
      <c r="M14" s="229"/>
      <c r="O14" s="223" t="s">
        <v>19</v>
      </c>
      <c r="P14" s="1" t="s">
        <v>186</v>
      </c>
      <c r="Q14" s="229"/>
      <c r="S14" s="1"/>
      <c r="T14" s="1"/>
      <c r="U14" s="1"/>
      <c r="V14" s="256"/>
    </row>
    <row r="15" spans="2:22" ht="12.75">
      <c r="B15" s="250"/>
      <c r="C15" s="154" t="s">
        <v>188</v>
      </c>
      <c r="D15" s="165">
        <f>D11-D13</f>
        <v>69047</v>
      </c>
      <c r="E15" s="156" t="s">
        <v>168</v>
      </c>
      <c r="G15" s="237" t="s">
        <v>389</v>
      </c>
      <c r="H15" s="1"/>
      <c r="I15" s="229"/>
      <c r="J15" s="1"/>
      <c r="K15" s="223" t="s">
        <v>20</v>
      </c>
      <c r="L15" s="7">
        <f>D9</f>
        <v>10</v>
      </c>
      <c r="M15" s="229" t="s">
        <v>2</v>
      </c>
      <c r="O15" s="223" t="s">
        <v>12</v>
      </c>
      <c r="P15" s="15">
        <f>P11</f>
        <v>7.121034134782763</v>
      </c>
      <c r="Q15" s="229" t="s">
        <v>18</v>
      </c>
      <c r="S15" s="219" t="s">
        <v>343</v>
      </c>
      <c r="T15" s="1"/>
      <c r="U15" s="1"/>
      <c r="V15" s="256"/>
    </row>
    <row r="16" spans="2:22" ht="15">
      <c r="B16" s="250"/>
      <c r="C16" s="157" t="s">
        <v>262</v>
      </c>
      <c r="D16" s="1"/>
      <c r="E16" s="156"/>
      <c r="G16" s="182" t="s">
        <v>319</v>
      </c>
      <c r="H16" s="346">
        <v>11.8890730884745</v>
      </c>
      <c r="I16" s="156" t="s">
        <v>175</v>
      </c>
      <c r="J16" s="1"/>
      <c r="K16" s="223" t="s">
        <v>11</v>
      </c>
      <c r="L16" s="22">
        <f>D11/100/1000</f>
        <v>1.7037200000000001</v>
      </c>
      <c r="M16" s="229" t="s">
        <v>15</v>
      </c>
      <c r="O16" s="223" t="s">
        <v>189</v>
      </c>
      <c r="P16" s="7">
        <f>D20</f>
        <v>0.024300000000000002</v>
      </c>
      <c r="Q16" s="229" t="s">
        <v>5</v>
      </c>
      <c r="S16" s="219" t="s">
        <v>339</v>
      </c>
      <c r="T16" s="1"/>
      <c r="U16" s="1"/>
      <c r="V16" s="256"/>
    </row>
    <row r="17" spans="2:22" ht="15">
      <c r="B17" s="250"/>
      <c r="C17" s="154" t="s">
        <v>190</v>
      </c>
      <c r="D17" s="172">
        <v>75</v>
      </c>
      <c r="E17" s="156" t="s">
        <v>3</v>
      </c>
      <c r="G17" s="203" t="s">
        <v>264</v>
      </c>
      <c r="H17" s="236">
        <f>H16/3600</f>
        <v>0.003302520302354028</v>
      </c>
      <c r="I17" s="181" t="s">
        <v>177</v>
      </c>
      <c r="J17" s="1"/>
      <c r="K17" s="223" t="s">
        <v>203</v>
      </c>
      <c r="L17" s="285" t="s">
        <v>322</v>
      </c>
      <c r="M17" s="229"/>
      <c r="O17" s="223" t="s">
        <v>187</v>
      </c>
      <c r="P17" s="218">
        <f>L24</f>
        <v>1.2978899758309127E-06</v>
      </c>
      <c r="Q17" s="245" t="s">
        <v>27</v>
      </c>
      <c r="S17" s="219" t="s">
        <v>340</v>
      </c>
      <c r="T17" s="1"/>
      <c r="U17" s="1"/>
      <c r="V17" s="256"/>
    </row>
    <row r="18" spans="2:22" ht="15">
      <c r="B18" s="250"/>
      <c r="C18" s="157" t="s">
        <v>373</v>
      </c>
      <c r="D18" s="7"/>
      <c r="E18" s="156"/>
      <c r="G18" s="1"/>
      <c r="H18" s="1"/>
      <c r="I18" s="1"/>
      <c r="J18" s="1"/>
      <c r="K18" s="223" t="s">
        <v>203</v>
      </c>
      <c r="L18" s="321">
        <f>SaturatedWaterDensity_t(L15)</f>
        <v>1000</v>
      </c>
      <c r="M18" s="229" t="s">
        <v>194</v>
      </c>
      <c r="O18" s="271" t="s">
        <v>19</v>
      </c>
      <c r="P18" s="289">
        <f>P15*P16/P17</f>
        <v>133324.96027981088</v>
      </c>
      <c r="Q18" s="230"/>
      <c r="S18" s="219" t="s">
        <v>341</v>
      </c>
      <c r="T18" s="186"/>
      <c r="U18" s="186"/>
      <c r="V18" s="256"/>
    </row>
    <row r="19" spans="2:22" ht="15">
      <c r="B19" s="250"/>
      <c r="C19" s="154" t="s">
        <v>189</v>
      </c>
      <c r="D19" s="11">
        <v>24.3</v>
      </c>
      <c r="E19" s="156" t="s">
        <v>3</v>
      </c>
      <c r="G19" s="1"/>
      <c r="H19" s="1"/>
      <c r="I19" s="1"/>
      <c r="J19" s="1"/>
      <c r="K19" s="241"/>
      <c r="L19" s="1"/>
      <c r="M19" s="229"/>
      <c r="O19" s="1"/>
      <c r="P19" s="1"/>
      <c r="Q19" s="1"/>
      <c r="S19" s="219" t="s">
        <v>342</v>
      </c>
      <c r="T19" s="186"/>
      <c r="U19" s="186"/>
      <c r="V19" s="256"/>
    </row>
    <row r="20" spans="2:22" ht="15">
      <c r="B20" s="250"/>
      <c r="C20" s="231" t="s">
        <v>189</v>
      </c>
      <c r="D20" s="232">
        <f>D19/1000</f>
        <v>0.024300000000000002</v>
      </c>
      <c r="E20" s="181" t="s">
        <v>5</v>
      </c>
      <c r="G20" s="1"/>
      <c r="H20" s="1"/>
      <c r="I20" s="1"/>
      <c r="J20" s="1"/>
      <c r="K20" s="237" t="s">
        <v>268</v>
      </c>
      <c r="L20" s="7"/>
      <c r="M20" s="244" t="s">
        <v>0</v>
      </c>
      <c r="O20" s="247" t="s">
        <v>274</v>
      </c>
      <c r="P20" s="225"/>
      <c r="Q20" s="228"/>
      <c r="S20" s="1"/>
      <c r="T20" s="186"/>
      <c r="U20" s="186"/>
      <c r="V20" s="256"/>
    </row>
    <row r="21" spans="2:22" ht="15">
      <c r="B21" s="250"/>
      <c r="C21" s="1"/>
      <c r="D21" s="1"/>
      <c r="E21" s="1"/>
      <c r="G21" s="1"/>
      <c r="H21" s="1"/>
      <c r="I21" s="1"/>
      <c r="J21" s="1"/>
      <c r="K21" s="223" t="s">
        <v>187</v>
      </c>
      <c r="L21" s="7" t="s">
        <v>251</v>
      </c>
      <c r="M21" s="229"/>
      <c r="O21" s="223" t="s">
        <v>208</v>
      </c>
      <c r="P21" s="7" t="s">
        <v>207</v>
      </c>
      <c r="Q21" s="229"/>
      <c r="S21" s="1"/>
      <c r="T21" s="186"/>
      <c r="U21" s="186"/>
      <c r="V21" s="256"/>
    </row>
    <row r="22" spans="2:22" ht="15">
      <c r="B22" s="250"/>
      <c r="C22" s="1"/>
      <c r="D22" s="1"/>
      <c r="E22" s="1"/>
      <c r="G22" s="1"/>
      <c r="H22" s="1"/>
      <c r="I22" s="1"/>
      <c r="J22" s="1"/>
      <c r="K22" s="223" t="s">
        <v>250</v>
      </c>
      <c r="L22" s="166">
        <f>L11</f>
        <v>0.0012978899758309126</v>
      </c>
      <c r="M22" s="245" t="s">
        <v>37</v>
      </c>
      <c r="O22" s="223" t="s">
        <v>189</v>
      </c>
      <c r="P22" s="164">
        <f>D19</f>
        <v>24.3</v>
      </c>
      <c r="Q22" s="229" t="s">
        <v>3</v>
      </c>
      <c r="S22" s="1"/>
      <c r="T22" s="186"/>
      <c r="U22" s="186"/>
      <c r="V22" s="256"/>
    </row>
    <row r="23" spans="2:22" ht="16.5">
      <c r="B23" s="250"/>
      <c r="C23" s="1"/>
      <c r="D23" s="1"/>
      <c r="E23" s="1"/>
      <c r="G23" s="1"/>
      <c r="H23" s="1"/>
      <c r="I23" s="1"/>
      <c r="J23" s="1"/>
      <c r="K23" s="223" t="s">
        <v>195</v>
      </c>
      <c r="L23" s="17">
        <f>L18</f>
        <v>1000</v>
      </c>
      <c r="M23" s="229" t="s">
        <v>255</v>
      </c>
      <c r="O23" s="223" t="s">
        <v>190</v>
      </c>
      <c r="P23" s="163">
        <f>D17</f>
        <v>75</v>
      </c>
      <c r="Q23" s="229" t="s">
        <v>3</v>
      </c>
      <c r="S23" s="1"/>
      <c r="T23" s="186"/>
      <c r="U23" s="186"/>
      <c r="V23" s="256"/>
    </row>
    <row r="24" spans="2:22" ht="12.75">
      <c r="B24" s="250"/>
      <c r="C24" s="1"/>
      <c r="D24" s="1"/>
      <c r="E24" s="1"/>
      <c r="G24" s="1"/>
      <c r="H24" s="1"/>
      <c r="I24" s="1"/>
      <c r="J24" s="1"/>
      <c r="K24" s="271" t="s">
        <v>187</v>
      </c>
      <c r="L24" s="320">
        <f>L22/L23</f>
        <v>1.2978899758309127E-06</v>
      </c>
      <c r="M24" s="246" t="s">
        <v>27</v>
      </c>
      <c r="O24" s="271" t="s">
        <v>208</v>
      </c>
      <c r="P24" s="290">
        <f>P22/P23</f>
        <v>0.324</v>
      </c>
      <c r="Q24" s="230" t="s">
        <v>10</v>
      </c>
      <c r="S24" s="1"/>
      <c r="T24" s="186"/>
      <c r="U24" s="186"/>
      <c r="V24" s="256"/>
    </row>
    <row r="25" spans="2:22" ht="12.75">
      <c r="B25" s="250"/>
      <c r="C25" s="7"/>
      <c r="D25" s="7"/>
      <c r="E25" s="1"/>
      <c r="G25" s="1"/>
      <c r="H25" s="1"/>
      <c r="I25" s="1"/>
      <c r="J25" s="1"/>
      <c r="K25" s="1"/>
      <c r="L25" s="1"/>
      <c r="M25" s="1"/>
      <c r="O25" s="1"/>
      <c r="P25" s="1"/>
      <c r="Q25" s="1"/>
      <c r="S25" s="1"/>
      <c r="T25" s="1"/>
      <c r="U25" s="1"/>
      <c r="V25" s="256"/>
    </row>
    <row r="26" spans="2:22" ht="12.75">
      <c r="B26" s="250"/>
      <c r="C26" s="1" t="s">
        <v>0</v>
      </c>
      <c r="D26" s="7"/>
      <c r="E26" s="1"/>
      <c r="G26" s="7"/>
      <c r="H26" s="17"/>
      <c r="I26" s="1"/>
      <c r="J26" s="1"/>
      <c r="K26" s="1"/>
      <c r="L26" s="1"/>
      <c r="M26" s="1"/>
      <c r="O26" s="1"/>
      <c r="P26" s="1"/>
      <c r="Q26" s="1"/>
      <c r="S26" s="1"/>
      <c r="T26" s="1"/>
      <c r="U26" s="1"/>
      <c r="V26" s="256"/>
    </row>
    <row r="27" spans="2:22" ht="12.75">
      <c r="B27" s="250"/>
      <c r="C27" s="1"/>
      <c r="D27" s="1"/>
      <c r="E27" s="1"/>
      <c r="G27" s="1"/>
      <c r="H27" s="1"/>
      <c r="I27" s="1"/>
      <c r="J27" s="1"/>
      <c r="K27" s="1"/>
      <c r="L27" s="1"/>
      <c r="M27" s="1"/>
      <c r="O27" s="1"/>
      <c r="P27" s="1"/>
      <c r="Q27" s="1"/>
      <c r="S27" s="1"/>
      <c r="T27" s="1"/>
      <c r="U27" s="1"/>
      <c r="V27" s="256"/>
    </row>
    <row r="28" spans="2:22" ht="12.75">
      <c r="B28" s="250"/>
      <c r="C28" s="1"/>
      <c r="D28" s="1"/>
      <c r="E28" s="1"/>
      <c r="G28" s="1"/>
      <c r="H28" s="1"/>
      <c r="I28" s="1"/>
      <c r="J28" s="1"/>
      <c r="K28" s="1"/>
      <c r="L28" s="1"/>
      <c r="M28" s="1"/>
      <c r="O28" s="1"/>
      <c r="P28" s="1"/>
      <c r="Q28" s="1"/>
      <c r="S28" s="1"/>
      <c r="T28" s="1"/>
      <c r="U28" s="1"/>
      <c r="V28" s="256"/>
    </row>
    <row r="29" spans="2:22" ht="13.5" thickBot="1">
      <c r="B29" s="253"/>
      <c r="C29" s="254" t="s">
        <v>0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7"/>
    </row>
    <row r="30" spans="6:18" ht="13.5" thickTop="1">
      <c r="F30" s="211"/>
      <c r="N30" s="211"/>
      <c r="R30" s="211"/>
    </row>
    <row r="31" spans="6:18" ht="13.5" thickBot="1">
      <c r="F31" s="211"/>
      <c r="N31" s="211"/>
      <c r="R31" s="211"/>
    </row>
    <row r="32" spans="2:22" ht="13.5" thickTop="1">
      <c r="B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5"/>
    </row>
    <row r="33" spans="2:22" ht="12.75">
      <c r="B33" s="250"/>
      <c r="C33" s="238" t="s">
        <v>271</v>
      </c>
      <c r="D33" s="225"/>
      <c r="E33" s="228"/>
      <c r="G33" s="272" t="s">
        <v>353</v>
      </c>
      <c r="H33" s="1"/>
      <c r="I33" s="1"/>
      <c r="J33" s="1"/>
      <c r="K33" s="1"/>
      <c r="L33" s="1"/>
      <c r="M33" s="1"/>
      <c r="O33" s="1"/>
      <c r="P33" s="1"/>
      <c r="Q33" s="1"/>
      <c r="S33" s="1"/>
      <c r="T33" s="1"/>
      <c r="U33" s="1"/>
      <c r="V33" s="256"/>
    </row>
    <row r="34" spans="2:22" ht="12.75">
      <c r="B34" s="250"/>
      <c r="C34" s="241" t="s">
        <v>296</v>
      </c>
      <c r="D34" s="1"/>
      <c r="E34" s="229"/>
      <c r="G34" s="1"/>
      <c r="H34" s="1"/>
      <c r="I34" s="1"/>
      <c r="J34" s="1"/>
      <c r="K34" s="1"/>
      <c r="L34" s="1"/>
      <c r="M34" s="1"/>
      <c r="O34" s="322" t="s">
        <v>326</v>
      </c>
      <c r="P34" s="1"/>
      <c r="Q34" s="1"/>
      <c r="S34" s="1"/>
      <c r="T34" s="1"/>
      <c r="U34" s="1"/>
      <c r="V34" s="256"/>
    </row>
    <row r="35" spans="2:22" ht="12.75">
      <c r="B35" s="250"/>
      <c r="C35" s="271" t="s">
        <v>184</v>
      </c>
      <c r="D35" s="288">
        <f>IF(D7="Water",1,"N/A")</f>
        <v>1</v>
      </c>
      <c r="E35" s="260" t="s">
        <v>10</v>
      </c>
      <c r="G35" s="1"/>
      <c r="H35" s="1"/>
      <c r="I35" s="1"/>
      <c r="J35" s="1"/>
      <c r="K35" s="242" t="s">
        <v>349</v>
      </c>
      <c r="L35" s="225"/>
      <c r="M35" s="228"/>
      <c r="O35" s="247" t="s">
        <v>378</v>
      </c>
      <c r="P35" s="225"/>
      <c r="Q35" s="225"/>
      <c r="R35" s="225"/>
      <c r="S35" s="228"/>
      <c r="T35" s="1"/>
      <c r="U35" s="1"/>
      <c r="V35" s="256"/>
    </row>
    <row r="36" spans="2:22" ht="15.75">
      <c r="B36" s="250"/>
      <c r="C36" s="1"/>
      <c r="D36" s="1"/>
      <c r="E36" s="1"/>
      <c r="G36" s="1"/>
      <c r="H36" s="1"/>
      <c r="I36" s="1"/>
      <c r="J36" s="1"/>
      <c r="K36" s="223" t="s">
        <v>348</v>
      </c>
      <c r="L36" s="140" t="s">
        <v>347</v>
      </c>
      <c r="M36" s="229"/>
      <c r="O36" s="241" t="s">
        <v>321</v>
      </c>
      <c r="P36" s="1"/>
      <c r="Q36" s="1"/>
      <c r="S36" s="229"/>
      <c r="T36" s="1"/>
      <c r="U36" s="1"/>
      <c r="V36" s="256"/>
    </row>
    <row r="37" spans="2:22" ht="15.75">
      <c r="B37" s="250"/>
      <c r="C37" s="238" t="s">
        <v>272</v>
      </c>
      <c r="D37" s="225"/>
      <c r="E37" s="228"/>
      <c r="G37" s="1"/>
      <c r="H37" s="1"/>
      <c r="I37" s="1"/>
      <c r="J37" s="1"/>
      <c r="K37" s="263" t="s">
        <v>264</v>
      </c>
      <c r="L37" s="17">
        <f>H16</f>
        <v>11.8890730884745</v>
      </c>
      <c r="M37" s="265" t="s">
        <v>175</v>
      </c>
      <c r="O37" s="241"/>
      <c r="P37" s="1"/>
      <c r="Q37" s="1"/>
      <c r="S37" s="229"/>
      <c r="T37" s="1"/>
      <c r="U37" s="1"/>
      <c r="V37" s="256"/>
    </row>
    <row r="38" spans="2:22" ht="15.75">
      <c r="B38" s="250"/>
      <c r="C38" s="261" t="s">
        <v>300</v>
      </c>
      <c r="D38" s="1"/>
      <c r="E38" s="229"/>
      <c r="G38" s="1"/>
      <c r="H38" s="1"/>
      <c r="I38" s="1"/>
      <c r="J38" s="1"/>
      <c r="K38" s="223" t="s">
        <v>346</v>
      </c>
      <c r="L38" s="15">
        <f>H47</f>
        <v>11.889073089011465</v>
      </c>
      <c r="M38" s="265" t="s">
        <v>175</v>
      </c>
      <c r="O38" s="241"/>
      <c r="P38" s="1"/>
      <c r="Q38" s="1"/>
      <c r="S38" s="325" t="s">
        <v>377</v>
      </c>
      <c r="T38" s="1"/>
      <c r="U38" s="1"/>
      <c r="V38" s="256"/>
    </row>
    <row r="39" spans="2:22" ht="12.75">
      <c r="B39" s="250"/>
      <c r="C39" s="223" t="s">
        <v>181</v>
      </c>
      <c r="D39" s="140">
        <f>D23</f>
        <v>0</v>
      </c>
      <c r="E39" s="229" t="s">
        <v>10</v>
      </c>
      <c r="G39" s="200" t="s">
        <v>1</v>
      </c>
      <c r="H39" s="303" t="s">
        <v>345</v>
      </c>
      <c r="I39" s="141"/>
      <c r="J39" s="1"/>
      <c r="K39" s="223" t="s">
        <v>348</v>
      </c>
      <c r="L39" s="266">
        <f>L37-L38</f>
        <v>-5.369642508412653E-10</v>
      </c>
      <c r="M39" s="265" t="s">
        <v>175</v>
      </c>
      <c r="O39" s="241"/>
      <c r="P39" s="1"/>
      <c r="Q39" s="1"/>
      <c r="S39" s="229"/>
      <c r="T39" s="1"/>
      <c r="U39" s="1"/>
      <c r="V39" s="256"/>
    </row>
    <row r="40" spans="2:22" ht="12.75">
      <c r="B40" s="250"/>
      <c r="C40" s="223" t="s">
        <v>182</v>
      </c>
      <c r="D40" s="140">
        <f>D24</f>
        <v>0</v>
      </c>
      <c r="E40" s="229" t="s">
        <v>10</v>
      </c>
      <c r="G40" s="154" t="s">
        <v>173</v>
      </c>
      <c r="H40" s="24">
        <f>D43</f>
        <v>0.6026281658428351</v>
      </c>
      <c r="I40" s="156" t="s">
        <v>10</v>
      </c>
      <c r="J40" s="1"/>
      <c r="K40" s="241"/>
      <c r="L40" s="214" t="s">
        <v>0</v>
      </c>
      <c r="M40" s="229"/>
      <c r="O40" s="223" t="s">
        <v>1</v>
      </c>
      <c r="P40" s="1" t="s">
        <v>243</v>
      </c>
      <c r="Q40" s="1"/>
      <c r="S40" s="229"/>
      <c r="T40" s="1"/>
      <c r="U40" s="1"/>
      <c r="V40" s="256"/>
    </row>
    <row r="41" spans="2:22" ht="12.75">
      <c r="B41" s="250"/>
      <c r="C41" s="223" t="s">
        <v>183</v>
      </c>
      <c r="D41" s="146">
        <f>P18</f>
        <v>133324.96027981088</v>
      </c>
      <c r="E41" s="229" t="s">
        <v>10</v>
      </c>
      <c r="G41" s="154" t="s">
        <v>184</v>
      </c>
      <c r="H41" s="15">
        <f>D35</f>
        <v>1</v>
      </c>
      <c r="I41" s="156" t="s">
        <v>10</v>
      </c>
      <c r="J41" s="1"/>
      <c r="K41" s="241"/>
      <c r="L41" s="1"/>
      <c r="M41" s="229"/>
      <c r="O41" s="308" t="s">
        <v>374</v>
      </c>
      <c r="P41" s="309"/>
      <c r="Q41" s="309"/>
      <c r="R41" s="309"/>
      <c r="S41" s="229"/>
      <c r="T41" s="1"/>
      <c r="U41" s="1"/>
      <c r="V41" s="256"/>
    </row>
    <row r="42" spans="2:22" ht="12.75">
      <c r="B42" s="250"/>
      <c r="C42" s="223" t="s">
        <v>184</v>
      </c>
      <c r="D42" s="159">
        <f>D35</f>
        <v>1</v>
      </c>
      <c r="E42" s="229" t="s">
        <v>10</v>
      </c>
      <c r="G42" s="154" t="s">
        <v>192</v>
      </c>
      <c r="H42" s="17">
        <f>D48</f>
        <v>1.0055559423909888</v>
      </c>
      <c r="I42" s="156" t="s">
        <v>10</v>
      </c>
      <c r="J42" s="1"/>
      <c r="K42" s="340" t="str">
        <f>IF(ABS(L39)&lt;0.0001,"Iteration finished","Click in Calculate for iteration")</f>
        <v>Iteration finished</v>
      </c>
      <c r="L42" s="341"/>
      <c r="M42" s="342"/>
      <c r="O42" s="223" t="s">
        <v>25</v>
      </c>
      <c r="P42" s="326">
        <v>0.0034781</v>
      </c>
      <c r="Q42" s="1" t="s">
        <v>10</v>
      </c>
      <c r="R42" s="8" t="s">
        <v>299</v>
      </c>
      <c r="S42" s="229"/>
      <c r="T42" s="1"/>
      <c r="U42" s="1"/>
      <c r="V42" s="256"/>
    </row>
    <row r="43" spans="2:22" ht="12.75">
      <c r="B43" s="250"/>
      <c r="C43" s="271" t="s">
        <v>173</v>
      </c>
      <c r="D43" s="298">
        <f>0.5961+0.0261*P24^2-0.216*P24^8+0.000521*(P24*1000000/D41)^0.7+(0.0188+0.0063*(19000*P24/D41)^0.8)*(1000000/D41)*P24^3.5+(0.043+0.08*D42*(-7*D39))*(1-0.11)*(19000*P24/D41)^0.8*(P24^4/(1-P24^4))-0.031*((2*D40/(1-P24))-0.8*(2*D40/(1-P24))^1.1)*P24^1.3</f>
        <v>0.6026281658428351</v>
      </c>
      <c r="E43" s="230"/>
      <c r="G43" s="154" t="s">
        <v>25</v>
      </c>
      <c r="H43" s="23">
        <f>H12</f>
        <v>0.00046376976150455933</v>
      </c>
      <c r="I43" s="156" t="s">
        <v>26</v>
      </c>
      <c r="J43" s="1"/>
      <c r="K43" s="219" t="s">
        <v>0</v>
      </c>
      <c r="L43" s="1"/>
      <c r="M43" s="1"/>
      <c r="O43" s="223" t="s">
        <v>173</v>
      </c>
      <c r="P43" s="326">
        <v>0.61</v>
      </c>
      <c r="Q43" s="1" t="s">
        <v>10</v>
      </c>
      <c r="R43" s="8" t="s">
        <v>299</v>
      </c>
      <c r="S43" s="229"/>
      <c r="T43" s="1"/>
      <c r="U43" s="1"/>
      <c r="V43" s="256"/>
    </row>
    <row r="44" spans="2:22" ht="13.5" thickBot="1">
      <c r="B44" s="250"/>
      <c r="C44" s="1"/>
      <c r="D44" s="1"/>
      <c r="E44" s="1"/>
      <c r="G44" s="154" t="s">
        <v>188</v>
      </c>
      <c r="H44" s="165">
        <f>D15</f>
        <v>69047</v>
      </c>
      <c r="I44" s="156" t="s">
        <v>168</v>
      </c>
      <c r="J44" s="1"/>
      <c r="K44" s="1"/>
      <c r="L44" s="1"/>
      <c r="M44" s="1"/>
      <c r="O44" s="223" t="s">
        <v>17</v>
      </c>
      <c r="P44" s="327">
        <f>D19</f>
        <v>24.3</v>
      </c>
      <c r="Q44" s="1" t="s">
        <v>3</v>
      </c>
      <c r="S44" s="229"/>
      <c r="T44" s="1"/>
      <c r="U44" s="1"/>
      <c r="V44" s="256"/>
    </row>
    <row r="45" spans="2:22" ht="15">
      <c r="B45" s="250"/>
      <c r="C45" s="238" t="s">
        <v>360</v>
      </c>
      <c r="D45" s="225"/>
      <c r="E45" s="228"/>
      <c r="G45" s="154" t="s">
        <v>203</v>
      </c>
      <c r="H45" s="22">
        <f>L18</f>
        <v>1000</v>
      </c>
      <c r="I45" s="199" t="s">
        <v>194</v>
      </c>
      <c r="J45" s="1"/>
      <c r="K45" s="333" t="s">
        <v>387</v>
      </c>
      <c r="L45" s="334"/>
      <c r="M45" s="337"/>
      <c r="O45" s="223" t="s">
        <v>174</v>
      </c>
      <c r="P45" s="328">
        <f>D15/g/1000</f>
        <v>7.040834535748702</v>
      </c>
      <c r="Q45" s="1" t="s">
        <v>176</v>
      </c>
      <c r="S45" s="229"/>
      <c r="T45" s="1"/>
      <c r="U45" s="1"/>
      <c r="V45" s="256"/>
    </row>
    <row r="46" spans="2:22" ht="12.75">
      <c r="B46" s="250"/>
      <c r="C46" s="223" t="s">
        <v>192</v>
      </c>
      <c r="D46" s="1" t="s">
        <v>193</v>
      </c>
      <c r="E46" s="229"/>
      <c r="G46" s="182" t="s">
        <v>1</v>
      </c>
      <c r="H46" s="159">
        <f>H40*H41*H42*H43*(2*H44/H45)^0.5</f>
        <v>0.0033025203025031846</v>
      </c>
      <c r="I46" s="183" t="s">
        <v>177</v>
      </c>
      <c r="J46" s="1"/>
      <c r="K46" s="332" t="s">
        <v>353</v>
      </c>
      <c r="L46" s="1"/>
      <c r="M46" s="338"/>
      <c r="O46" s="223" t="s">
        <v>245</v>
      </c>
      <c r="P46" s="329">
        <f>D17</f>
        <v>75</v>
      </c>
      <c r="Q46" s="1" t="s">
        <v>3</v>
      </c>
      <c r="S46" s="229"/>
      <c r="T46" s="1"/>
      <c r="U46" s="1"/>
      <c r="V46" s="256"/>
    </row>
    <row r="47" spans="2:22" ht="13.5" thickBot="1">
      <c r="B47" s="250"/>
      <c r="C47" s="223" t="s">
        <v>180</v>
      </c>
      <c r="D47" s="15">
        <f>P24</f>
        <v>0.324</v>
      </c>
      <c r="E47" s="229" t="s">
        <v>10</v>
      </c>
      <c r="G47" s="203" t="s">
        <v>1</v>
      </c>
      <c r="H47" s="215">
        <f>H46*3600</f>
        <v>11.889073089011465</v>
      </c>
      <c r="I47" s="158" t="s">
        <v>175</v>
      </c>
      <c r="J47" s="1"/>
      <c r="K47" s="335" t="s">
        <v>1</v>
      </c>
      <c r="L47" s="336">
        <f>IF(ABS(L39)&lt;0.001,L38,"")</f>
        <v>11.889073089011465</v>
      </c>
      <c r="M47" s="339" t="s">
        <v>175</v>
      </c>
      <c r="O47" s="323" t="s">
        <v>246</v>
      </c>
      <c r="P47" s="330" t="s">
        <v>247</v>
      </c>
      <c r="Q47" s="1"/>
      <c r="S47" s="229"/>
      <c r="T47" s="1"/>
      <c r="U47" s="1"/>
      <c r="V47" s="256"/>
    </row>
    <row r="48" spans="2:22" ht="12.75">
      <c r="B48" s="250"/>
      <c r="C48" s="271" t="s">
        <v>192</v>
      </c>
      <c r="D48" s="299">
        <f>(1/(1-D47^4))^0.5</f>
        <v>1.0055559423909888</v>
      </c>
      <c r="E48" s="230" t="s">
        <v>10</v>
      </c>
      <c r="G48" s="1"/>
      <c r="H48" s="1"/>
      <c r="I48" s="1"/>
      <c r="J48" s="1"/>
      <c r="K48" s="1"/>
      <c r="L48" s="1"/>
      <c r="M48" s="1"/>
      <c r="O48" s="323" t="s">
        <v>246</v>
      </c>
      <c r="P48" s="331">
        <f>P44/P46</f>
        <v>0.324</v>
      </c>
      <c r="Q48" s="1" t="str">
        <f>IF(P48&gt;0.3,"OK. Beta &gt; 0.3","beta &lt; 0.3. Use other equation")</f>
        <v>OK. Beta &gt; 0.3</v>
      </c>
      <c r="S48" s="229"/>
      <c r="T48" s="1"/>
      <c r="U48" s="1"/>
      <c r="V48" s="256"/>
    </row>
    <row r="49" spans="2:22" ht="12.75">
      <c r="B49" s="250"/>
      <c r="C49" s="1"/>
      <c r="D49" s="1"/>
      <c r="E49" s="1"/>
      <c r="G49" s="1"/>
      <c r="H49" s="1"/>
      <c r="I49" s="1"/>
      <c r="J49" s="1"/>
      <c r="K49" s="1"/>
      <c r="L49" s="1"/>
      <c r="M49" s="1"/>
      <c r="O49" s="223" t="s">
        <v>1</v>
      </c>
      <c r="P49" s="331">
        <f>P42*P43*P44^2*P45^0.5*(1/(1-P48^4))^0.5</f>
        <v>3.342741187551417</v>
      </c>
      <c r="Q49" s="1" t="s">
        <v>179</v>
      </c>
      <c r="S49" s="229"/>
      <c r="T49" s="1"/>
      <c r="U49" s="1"/>
      <c r="V49" s="256"/>
    </row>
    <row r="50" spans="2:22" ht="12.75">
      <c r="B50" s="250"/>
      <c r="C50" s="1"/>
      <c r="D50" s="1"/>
      <c r="E50" s="1"/>
      <c r="G50" s="1"/>
      <c r="H50" s="1"/>
      <c r="I50" s="1"/>
      <c r="J50" s="1"/>
      <c r="K50" s="1"/>
      <c r="L50" s="1"/>
      <c r="M50" s="1"/>
      <c r="O50" s="294" t="s">
        <v>1</v>
      </c>
      <c r="P50" s="270">
        <f>P49*3.6</f>
        <v>12.033868275185101</v>
      </c>
      <c r="Q50" s="304" t="s">
        <v>175</v>
      </c>
      <c r="R50" s="304"/>
      <c r="S50" s="230"/>
      <c r="T50" s="1"/>
      <c r="U50" s="1"/>
      <c r="V50" s="256"/>
    </row>
    <row r="51" spans="2:22" ht="12.75">
      <c r="B51" s="250"/>
      <c r="C51" s="1"/>
      <c r="D51" s="1"/>
      <c r="E51" s="1"/>
      <c r="G51" s="1"/>
      <c r="H51" s="1"/>
      <c r="I51" s="1"/>
      <c r="J51" s="1"/>
      <c r="K51" s="1"/>
      <c r="L51" s="1"/>
      <c r="M51" s="1"/>
      <c r="O51" s="1"/>
      <c r="P51" s="1"/>
      <c r="Q51" s="1"/>
      <c r="S51" s="1"/>
      <c r="T51" s="1"/>
      <c r="U51" s="1"/>
      <c r="V51" s="256"/>
    </row>
    <row r="52" spans="2:22" ht="12.75">
      <c r="B52" s="250"/>
      <c r="C52" s="1"/>
      <c r="D52" s="1"/>
      <c r="E52" s="1"/>
      <c r="G52" s="1"/>
      <c r="H52" s="1"/>
      <c r="I52" s="1"/>
      <c r="J52" s="1"/>
      <c r="K52" s="1"/>
      <c r="L52" s="1"/>
      <c r="M52" s="1"/>
      <c r="O52" s="1"/>
      <c r="P52" s="1"/>
      <c r="Q52" s="1"/>
      <c r="S52" s="1"/>
      <c r="T52" s="1"/>
      <c r="U52" s="1"/>
      <c r="V52" s="256"/>
    </row>
    <row r="53" spans="2:22" ht="12.75">
      <c r="B53" s="250"/>
      <c r="C53" s="1"/>
      <c r="D53" s="1"/>
      <c r="E53" s="1"/>
      <c r="G53" s="1"/>
      <c r="H53" s="1"/>
      <c r="I53" s="1"/>
      <c r="J53" s="1"/>
      <c r="K53" s="1"/>
      <c r="L53" s="1"/>
      <c r="M53" s="1"/>
      <c r="O53" s="1"/>
      <c r="P53" s="1"/>
      <c r="Q53" s="1"/>
      <c r="S53" s="1"/>
      <c r="T53" s="1"/>
      <c r="U53" s="1"/>
      <c r="V53" s="256"/>
    </row>
    <row r="54" spans="2:22" ht="12.75">
      <c r="B54" s="250"/>
      <c r="C54" s="1"/>
      <c r="D54" s="1"/>
      <c r="E54" s="1"/>
      <c r="G54" s="1"/>
      <c r="H54" s="1"/>
      <c r="I54" s="1"/>
      <c r="J54" s="1"/>
      <c r="K54" s="1"/>
      <c r="L54" s="1"/>
      <c r="M54" s="1"/>
      <c r="O54" s="1"/>
      <c r="P54" s="1"/>
      <c r="Q54" s="1"/>
      <c r="S54" s="1"/>
      <c r="T54" s="1"/>
      <c r="U54" s="1"/>
      <c r="V54" s="256"/>
    </row>
    <row r="55" spans="2:22" ht="13.5" thickBot="1">
      <c r="B55" s="250"/>
      <c r="C55" s="7" t="s">
        <v>212</v>
      </c>
      <c r="D55" s="7"/>
      <c r="E55" s="1"/>
      <c r="G55" s="7"/>
      <c r="H55" s="17"/>
      <c r="I55" s="1"/>
      <c r="J55" s="1"/>
      <c r="K55" s="1"/>
      <c r="L55" s="1"/>
      <c r="M55" s="1"/>
      <c r="O55" s="1"/>
      <c r="P55" s="1"/>
      <c r="Q55" s="1"/>
      <c r="S55" s="1"/>
      <c r="T55" s="1"/>
      <c r="U55" s="1"/>
      <c r="V55" s="256"/>
    </row>
    <row r="56" spans="2:22" ht="14.25" thickBot="1" thickTop="1">
      <c r="B56" s="250"/>
      <c r="C56" s="174" t="s">
        <v>213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6"/>
      <c r="V56" s="256"/>
    </row>
    <row r="57" spans="2:22" ht="13.5" thickTop="1">
      <c r="B57" s="250"/>
      <c r="C57" s="1"/>
      <c r="D57" s="1"/>
      <c r="E57" s="1"/>
      <c r="G57" s="1"/>
      <c r="H57" s="1"/>
      <c r="I57" s="1"/>
      <c r="J57" s="1"/>
      <c r="K57" s="1"/>
      <c r="L57" s="1"/>
      <c r="M57" s="1"/>
      <c r="O57" s="1"/>
      <c r="P57" s="1"/>
      <c r="Q57" s="1"/>
      <c r="S57" s="1"/>
      <c r="T57" s="1"/>
      <c r="U57" s="1"/>
      <c r="V57" s="256"/>
    </row>
    <row r="58" spans="2:22" ht="12.75">
      <c r="B58" s="250"/>
      <c r="C58" s="1"/>
      <c r="D58" s="1"/>
      <c r="E58" s="1"/>
      <c r="G58" s="1"/>
      <c r="H58" s="1"/>
      <c r="I58" s="1"/>
      <c r="J58" s="1"/>
      <c r="K58" s="1"/>
      <c r="L58" s="1"/>
      <c r="M58" s="1"/>
      <c r="O58" s="1"/>
      <c r="P58" s="1"/>
      <c r="Q58" s="1"/>
      <c r="S58" s="1"/>
      <c r="T58" s="1"/>
      <c r="U58" s="1"/>
      <c r="V58" s="256"/>
    </row>
    <row r="59" spans="2:22" ht="12.75">
      <c r="B59" s="250"/>
      <c r="C59" s="1"/>
      <c r="D59" s="1"/>
      <c r="E59" s="1"/>
      <c r="G59" s="1"/>
      <c r="H59" s="1"/>
      <c r="I59" s="1"/>
      <c r="J59" s="1"/>
      <c r="K59" s="1"/>
      <c r="L59" s="1"/>
      <c r="M59" s="1"/>
      <c r="O59" s="1"/>
      <c r="P59" s="1"/>
      <c r="Q59" s="1"/>
      <c r="S59" s="1"/>
      <c r="T59" s="1"/>
      <c r="U59" s="1"/>
      <c r="V59" s="256"/>
    </row>
    <row r="60" spans="2:22" ht="13.5" thickBot="1">
      <c r="B60" s="253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7"/>
    </row>
    <row r="61" spans="6:18" ht="13.5" thickTop="1">
      <c r="F61" s="211"/>
      <c r="N61" s="211"/>
      <c r="R61" s="211"/>
    </row>
    <row r="62" spans="14:18" ht="13.5" thickBot="1">
      <c r="N62" s="211"/>
      <c r="R62" s="211"/>
    </row>
    <row r="63" spans="2:22" ht="14.25" thickBot="1" thickTop="1">
      <c r="B63" s="251"/>
      <c r="C63" s="252" t="s">
        <v>362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5"/>
    </row>
    <row r="64" spans="2:22" ht="14.25" thickBot="1" thickTop="1">
      <c r="B64" s="250"/>
      <c r="C64" s="174" t="s">
        <v>213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6"/>
      <c r="V64" s="256"/>
    </row>
    <row r="65" spans="2:22" ht="13.5" thickTop="1">
      <c r="B65" s="250"/>
      <c r="C65" s="1"/>
      <c r="D65" s="1"/>
      <c r="E65" s="1"/>
      <c r="G65" s="1"/>
      <c r="H65" s="1"/>
      <c r="I65" s="1"/>
      <c r="J65" s="1"/>
      <c r="K65" s="1"/>
      <c r="L65" s="1"/>
      <c r="M65" s="1"/>
      <c r="O65" s="1"/>
      <c r="P65" s="1"/>
      <c r="Q65" s="1"/>
      <c r="S65" s="1"/>
      <c r="T65" s="1"/>
      <c r="U65" s="1"/>
      <c r="V65" s="256"/>
    </row>
    <row r="66" spans="2:22" ht="12.75">
      <c r="B66" s="250"/>
      <c r="C66" s="1"/>
      <c r="D66" s="1"/>
      <c r="E66" s="1"/>
      <c r="G66" s="1"/>
      <c r="H66" s="1"/>
      <c r="I66" s="1"/>
      <c r="J66" s="1"/>
      <c r="K66" s="1"/>
      <c r="L66" s="1"/>
      <c r="M66" s="1"/>
      <c r="O66" s="1"/>
      <c r="P66" s="1"/>
      <c r="Q66" s="1"/>
      <c r="S66" s="1"/>
      <c r="T66" s="1"/>
      <c r="U66" s="1"/>
      <c r="V66" s="256"/>
    </row>
    <row r="67" spans="2:22" ht="12.75">
      <c r="B67" s="250"/>
      <c r="C67" s="1"/>
      <c r="D67" s="1"/>
      <c r="E67" s="1"/>
      <c r="G67" s="1"/>
      <c r="H67" s="1"/>
      <c r="I67" s="1"/>
      <c r="J67" s="1"/>
      <c r="K67" s="1"/>
      <c r="L67" s="1"/>
      <c r="M67" s="1"/>
      <c r="O67" s="1"/>
      <c r="P67" s="1"/>
      <c r="Q67" s="1"/>
      <c r="S67" s="1"/>
      <c r="T67" s="1"/>
      <c r="U67" s="1"/>
      <c r="V67" s="256"/>
    </row>
    <row r="68" spans="2:22" ht="12.75">
      <c r="B68" s="250"/>
      <c r="C68" s="1"/>
      <c r="D68" s="1"/>
      <c r="E68" s="1"/>
      <c r="G68" s="1"/>
      <c r="H68" s="1"/>
      <c r="I68" s="1"/>
      <c r="J68" s="1"/>
      <c r="K68" s="1"/>
      <c r="L68" s="1"/>
      <c r="M68" s="1"/>
      <c r="O68" s="1"/>
      <c r="P68" s="1"/>
      <c r="Q68" s="1"/>
      <c r="S68" s="1"/>
      <c r="T68" s="1"/>
      <c r="U68" s="1"/>
      <c r="V68" s="256"/>
    </row>
    <row r="69" spans="2:22" ht="12.75">
      <c r="B69" s="250"/>
      <c r="C69" s="1"/>
      <c r="D69" s="1"/>
      <c r="E69" s="1"/>
      <c r="G69" s="1"/>
      <c r="H69" s="1"/>
      <c r="I69" s="1"/>
      <c r="J69" s="1"/>
      <c r="K69" s="1"/>
      <c r="L69" s="1"/>
      <c r="M69" s="1"/>
      <c r="O69" s="1"/>
      <c r="P69" s="1"/>
      <c r="Q69" s="1"/>
      <c r="S69" s="1"/>
      <c r="T69" s="1"/>
      <c r="U69" s="1"/>
      <c r="V69" s="256"/>
    </row>
    <row r="70" spans="2:22" ht="14.25">
      <c r="B70" s="250"/>
      <c r="C70" s="1" t="s">
        <v>366</v>
      </c>
      <c r="D70" s="1"/>
      <c r="E70" s="1"/>
      <c r="G70" s="1" t="s">
        <v>234</v>
      </c>
      <c r="H70" s="1"/>
      <c r="I70" s="1"/>
      <c r="J70" s="1"/>
      <c r="K70" s="1"/>
      <c r="L70" s="1"/>
      <c r="M70" s="1"/>
      <c r="O70" s="1"/>
      <c r="P70" s="1"/>
      <c r="Q70" s="1"/>
      <c r="S70" s="1"/>
      <c r="T70" s="1"/>
      <c r="U70" s="1"/>
      <c r="V70" s="256"/>
    </row>
    <row r="71" spans="2:22" ht="12.75">
      <c r="B71" s="250"/>
      <c r="C71" s="1" t="s">
        <v>214</v>
      </c>
      <c r="D71" s="1"/>
      <c r="E71" s="1"/>
      <c r="G71" s="1" t="s">
        <v>231</v>
      </c>
      <c r="H71" s="186" t="s">
        <v>216</v>
      </c>
      <c r="I71" s="1"/>
      <c r="J71" s="1" t="s">
        <v>212</v>
      </c>
      <c r="K71" s="1"/>
      <c r="L71" s="1"/>
      <c r="M71" s="1"/>
      <c r="O71" s="1"/>
      <c r="P71" s="1"/>
      <c r="Q71" s="1"/>
      <c r="S71" s="1"/>
      <c r="T71" s="1"/>
      <c r="U71" s="1"/>
      <c r="V71" s="256"/>
    </row>
    <row r="72" spans="2:22" ht="12.75">
      <c r="B72" s="250"/>
      <c r="C72" s="1" t="s">
        <v>215</v>
      </c>
      <c r="D72" s="1"/>
      <c r="E72" s="1"/>
      <c r="G72" s="1" t="s">
        <v>231</v>
      </c>
      <c r="H72" s="167" t="s">
        <v>218</v>
      </c>
      <c r="I72" s="1"/>
      <c r="J72" s="1"/>
      <c r="K72" s="1"/>
      <c r="L72" s="1"/>
      <c r="M72" s="1"/>
      <c r="O72" s="1"/>
      <c r="P72" s="1"/>
      <c r="Q72" s="1"/>
      <c r="S72" s="1"/>
      <c r="T72" s="1"/>
      <c r="U72" s="1"/>
      <c r="V72" s="256"/>
    </row>
    <row r="73" spans="2:22" ht="12.75">
      <c r="B73" s="250"/>
      <c r="C73" s="1"/>
      <c r="D73" s="1"/>
      <c r="E73" s="1"/>
      <c r="G73" s="1"/>
      <c r="H73" s="1" t="s">
        <v>217</v>
      </c>
      <c r="I73" s="1"/>
      <c r="J73" s="1"/>
      <c r="K73" s="1"/>
      <c r="L73" s="1"/>
      <c r="M73" s="1"/>
      <c r="O73" s="1"/>
      <c r="P73" s="1"/>
      <c r="Q73" s="1"/>
      <c r="S73" s="1"/>
      <c r="T73" s="1"/>
      <c r="U73" s="1"/>
      <c r="V73" s="256"/>
    </row>
    <row r="74" spans="2:22" ht="12.75">
      <c r="B74" s="250"/>
      <c r="C74" s="1" t="s">
        <v>219</v>
      </c>
      <c r="D74" s="1"/>
      <c r="E74" s="1"/>
      <c r="G74" s="1" t="s">
        <v>231</v>
      </c>
      <c r="H74" s="34" t="s">
        <v>238</v>
      </c>
      <c r="I74" s="1"/>
      <c r="J74" s="1"/>
      <c r="K74" s="1"/>
      <c r="L74" s="1"/>
      <c r="M74" s="1"/>
      <c r="O74" s="1"/>
      <c r="P74" s="1"/>
      <c r="Q74" s="1"/>
      <c r="S74" s="1"/>
      <c r="T74" s="1"/>
      <c r="U74" s="1"/>
      <c r="V74" s="256"/>
    </row>
    <row r="75" spans="2:22" ht="12.75">
      <c r="B75" s="250"/>
      <c r="C75" s="1" t="s">
        <v>211</v>
      </c>
      <c r="D75" s="1"/>
      <c r="E75" s="1"/>
      <c r="G75" s="1" t="s">
        <v>233</v>
      </c>
      <c r="H75" s="8" t="s">
        <v>220</v>
      </c>
      <c r="I75" s="1"/>
      <c r="J75" s="1"/>
      <c r="K75" s="1"/>
      <c r="L75" s="1"/>
      <c r="M75" s="1"/>
      <c r="O75" s="1"/>
      <c r="P75" s="1"/>
      <c r="Q75" s="1"/>
      <c r="S75" s="1"/>
      <c r="T75" s="1"/>
      <c r="U75" s="1"/>
      <c r="V75" s="256"/>
    </row>
    <row r="76" spans="2:22" ht="15.75">
      <c r="B76" s="250"/>
      <c r="C76" s="34" t="s">
        <v>227</v>
      </c>
      <c r="D76" s="1"/>
      <c r="E76" s="1"/>
      <c r="G76" s="1" t="s">
        <v>228</v>
      </c>
      <c r="H76" s="34" t="s">
        <v>221</v>
      </c>
      <c r="I76" s="1"/>
      <c r="J76" s="1"/>
      <c r="K76" s="1"/>
      <c r="L76" s="1"/>
      <c r="M76" s="1"/>
      <c r="O76" s="1"/>
      <c r="P76" s="1"/>
      <c r="Q76" s="1"/>
      <c r="S76" s="1"/>
      <c r="T76" s="1"/>
      <c r="U76" s="1"/>
      <c r="V76" s="256"/>
    </row>
    <row r="77" spans="2:22" ht="14.25">
      <c r="B77" s="250"/>
      <c r="C77" s="8" t="s">
        <v>229</v>
      </c>
      <c r="D77" s="1"/>
      <c r="E77" s="1"/>
      <c r="G77" s="34" t="s">
        <v>230</v>
      </c>
      <c r="H77" s="1"/>
      <c r="I77" s="1"/>
      <c r="J77" s="1"/>
      <c r="K77" s="1"/>
      <c r="L77" s="1"/>
      <c r="M77" s="1"/>
      <c r="O77" s="1"/>
      <c r="P77" s="1"/>
      <c r="Q77" s="1"/>
      <c r="S77" s="1"/>
      <c r="T77" s="1"/>
      <c r="U77" s="1"/>
      <c r="V77" s="256"/>
    </row>
    <row r="78" spans="2:22" ht="12.75">
      <c r="B78" s="250"/>
      <c r="C78" s="8" t="s">
        <v>222</v>
      </c>
      <c r="D78" s="1"/>
      <c r="E78" s="1"/>
      <c r="G78" s="1" t="s">
        <v>231</v>
      </c>
      <c r="H78" s="1"/>
      <c r="I78" s="1"/>
      <c r="J78" s="1"/>
      <c r="K78" s="1"/>
      <c r="L78" s="1"/>
      <c r="M78" s="1"/>
      <c r="O78" s="1"/>
      <c r="P78" s="1"/>
      <c r="Q78" s="1"/>
      <c r="S78" s="1"/>
      <c r="T78" s="1"/>
      <c r="U78" s="1"/>
      <c r="V78" s="256"/>
    </row>
    <row r="79" spans="2:22" ht="12.75">
      <c r="B79" s="250"/>
      <c r="C79" s="8" t="s">
        <v>223</v>
      </c>
      <c r="D79" s="1"/>
      <c r="E79" s="1"/>
      <c r="G79" s="1"/>
      <c r="H79" s="1"/>
      <c r="I79" s="1"/>
      <c r="J79" s="1"/>
      <c r="K79" s="1"/>
      <c r="L79" s="1"/>
      <c r="M79" s="1"/>
      <c r="O79" s="1"/>
      <c r="P79" s="1"/>
      <c r="Q79" s="1"/>
      <c r="S79" s="1"/>
      <c r="T79" s="1"/>
      <c r="U79" s="1"/>
      <c r="V79" s="256"/>
    </row>
    <row r="80" spans="2:22" ht="15.75">
      <c r="B80" s="250"/>
      <c r="C80" s="8" t="s">
        <v>224</v>
      </c>
      <c r="D80" s="1"/>
      <c r="E80" s="1"/>
      <c r="G80" s="8" t="s">
        <v>232</v>
      </c>
      <c r="H80" s="1"/>
      <c r="I80" s="1"/>
      <c r="J80" s="1"/>
      <c r="K80" s="1"/>
      <c r="L80" s="1"/>
      <c r="M80" s="1"/>
      <c r="O80" s="1"/>
      <c r="P80" s="1"/>
      <c r="Q80" s="1"/>
      <c r="S80" s="1"/>
      <c r="T80" s="1"/>
      <c r="U80" s="1"/>
      <c r="V80" s="256"/>
    </row>
    <row r="81" spans="2:22" ht="15.75">
      <c r="B81" s="250"/>
      <c r="C81" s="8" t="s">
        <v>225</v>
      </c>
      <c r="D81" s="1"/>
      <c r="E81" s="1"/>
      <c r="G81" s="8" t="s">
        <v>232</v>
      </c>
      <c r="H81" s="1"/>
      <c r="I81" s="1"/>
      <c r="J81" s="1"/>
      <c r="K81" s="1"/>
      <c r="L81" s="1"/>
      <c r="M81" s="1"/>
      <c r="O81" s="1"/>
      <c r="P81" s="1"/>
      <c r="Q81" s="1"/>
      <c r="S81" s="1"/>
      <c r="T81" s="1"/>
      <c r="U81" s="1"/>
      <c r="V81" s="256"/>
    </row>
    <row r="82" spans="2:22" ht="15">
      <c r="B82" s="250"/>
      <c r="C82" s="1" t="s">
        <v>226</v>
      </c>
      <c r="D82" s="1"/>
      <c r="E82" s="1"/>
      <c r="G82" s="34" t="s">
        <v>237</v>
      </c>
      <c r="H82" s="1"/>
      <c r="I82" s="1"/>
      <c r="J82" s="1"/>
      <c r="K82" s="1"/>
      <c r="L82" s="1"/>
      <c r="M82" s="1"/>
      <c r="O82" s="1"/>
      <c r="P82" s="1"/>
      <c r="Q82" s="1"/>
      <c r="S82" s="1"/>
      <c r="T82" s="1"/>
      <c r="U82" s="1"/>
      <c r="V82" s="256"/>
    </row>
    <row r="83" spans="2:22" ht="12.75">
      <c r="B83" s="250"/>
      <c r="C83" s="8" t="s">
        <v>235</v>
      </c>
      <c r="D83" s="1"/>
      <c r="E83" s="1"/>
      <c r="G83" s="1"/>
      <c r="H83" s="1"/>
      <c r="I83" s="1"/>
      <c r="J83" s="1"/>
      <c r="K83" s="1"/>
      <c r="L83" s="1"/>
      <c r="M83" s="1"/>
      <c r="O83" s="1"/>
      <c r="P83" s="1"/>
      <c r="Q83" s="1"/>
      <c r="S83" s="1"/>
      <c r="T83" s="1"/>
      <c r="U83" s="1"/>
      <c r="V83" s="256"/>
    </row>
    <row r="84" spans="2:22" ht="12.75">
      <c r="B84" s="250"/>
      <c r="C84" s="8" t="s">
        <v>236</v>
      </c>
      <c r="D84" s="1"/>
      <c r="E84" s="1"/>
      <c r="G84" s="1"/>
      <c r="H84" s="1"/>
      <c r="I84" s="1"/>
      <c r="J84" s="1"/>
      <c r="K84" s="1"/>
      <c r="L84" s="1"/>
      <c r="M84" s="1"/>
      <c r="O84" s="1"/>
      <c r="P84" s="1"/>
      <c r="Q84" s="1"/>
      <c r="S84" s="1"/>
      <c r="T84" s="1"/>
      <c r="U84" s="1"/>
      <c r="V84" s="256"/>
    </row>
    <row r="85" spans="2:22" ht="13.5" thickBot="1">
      <c r="B85" s="253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7"/>
    </row>
    <row r="86" ht="13.5" thickTop="1">
      <c r="F86" s="211"/>
    </row>
    <row r="87" ht="12.75">
      <c r="F87" s="211"/>
    </row>
    <row r="88" ht="12.75">
      <c r="F88" s="211"/>
    </row>
    <row r="89" ht="12.75">
      <c r="F89" s="211"/>
    </row>
    <row r="90" ht="12.75">
      <c r="F90" s="211"/>
    </row>
    <row r="91" ht="12.75">
      <c r="F91" s="211"/>
    </row>
    <row r="92" ht="12.75">
      <c r="F92" s="211"/>
    </row>
    <row r="93" ht="12.75">
      <c r="F93" s="211"/>
    </row>
    <row r="94" spans="6:18" ht="12.75">
      <c r="F94" s="211"/>
      <c r="N94" s="211"/>
      <c r="R94" s="211"/>
    </row>
    <row r="95" spans="6:18" ht="12.75">
      <c r="F95" s="211"/>
      <c r="N95" s="211"/>
      <c r="R95" s="211"/>
    </row>
    <row r="96" spans="6:18" ht="12.75">
      <c r="F96" s="211"/>
      <c r="N96" s="211"/>
      <c r="R96" s="211"/>
    </row>
    <row r="97" spans="6:18" ht="12.75">
      <c r="F97" s="211"/>
      <c r="N97" s="211"/>
      <c r="R97" s="211"/>
    </row>
    <row r="98" spans="6:18" ht="12.75">
      <c r="F98" s="211"/>
      <c r="N98" s="211"/>
      <c r="R98" s="211"/>
    </row>
    <row r="99" spans="6:18" ht="12.75">
      <c r="F99" s="211"/>
      <c r="N99" s="211"/>
      <c r="R99" s="211"/>
    </row>
    <row r="100" spans="6:18" ht="12.75">
      <c r="F100" s="211"/>
      <c r="N100" s="211"/>
      <c r="R100" s="211"/>
    </row>
    <row r="101" spans="6:18" ht="12.75">
      <c r="F101" s="211"/>
      <c r="N101" s="211"/>
      <c r="R101" s="211"/>
    </row>
    <row r="102" spans="3:18" ht="12.75">
      <c r="C102" s="7"/>
      <c r="D102" s="24"/>
      <c r="E102" s="1"/>
      <c r="F102" s="211"/>
      <c r="N102" s="211"/>
      <c r="R102" s="211"/>
    </row>
    <row r="103" spans="3:18" ht="12.75">
      <c r="C103" s="7"/>
      <c r="D103" s="15"/>
      <c r="E103" s="1"/>
      <c r="F103" s="211"/>
      <c r="N103" s="211"/>
      <c r="R103" s="211"/>
    </row>
    <row r="104" spans="3:18" ht="12.75">
      <c r="C104" s="7"/>
      <c r="D104" s="15"/>
      <c r="E104" s="1"/>
      <c r="F104" s="211"/>
      <c r="N104" s="211"/>
      <c r="R104" s="211"/>
    </row>
  </sheetData>
  <sheetProtection/>
  <mergeCells count="1">
    <mergeCell ref="K42:M42"/>
  </mergeCells>
  <conditionalFormatting sqref="K42">
    <cfRule type="containsText" priority="5" dxfId="2" operator="containsText" text="Iteración terminada">
      <formula>NOT(ISERROR(SEARCH("Iteración terminada",K42)))</formula>
    </cfRule>
    <cfRule type="cellIs" priority="6" dxfId="0" operator="equal">
      <formula>"Hacer click en Calcular para iterar"</formula>
    </cfRule>
    <cfRule type="cellIs" priority="7" dxfId="0" operator="equal">
      <formula>"""Hacer click en Calcular para iterar"""</formula>
    </cfRule>
  </conditionalFormatting>
  <conditionalFormatting sqref="K42">
    <cfRule type="containsText" priority="1" dxfId="0" operator="containsText" text="Click in Calculate for iteration">
      <formula>NOT(ISERROR(SEARCH("Click in Calculate for iteration",K42)))</formula>
    </cfRule>
    <cfRule type="containsText" priority="2" dxfId="2" operator="containsText" text="Iteration finished">
      <formula>NOT(ISERROR(SEARCH("Iteration finished",K42)))</formula>
    </cfRule>
    <cfRule type="cellIs" priority="3" dxfId="0" operator="equal">
      <formula>"Hacer click en Calcular para iterar"</formula>
    </cfRule>
    <cfRule type="cellIs" priority="4" dxfId="0" operator="equal">
      <formula>"""Hacer click en Calcular para iterar"""</formula>
    </cfRule>
  </conditionalFormatting>
  <printOptions/>
  <pageMargins left="0.7" right="0.7" top="0.75" bottom="0.75" header="0.3" footer="0.3"/>
  <pageSetup orientation="portrait" paperSize="9"/>
  <ignoredErrors>
    <ignoredError sqref="S38" numberStoredAsText="1"/>
  </ignoredErrors>
  <drawing r:id="rId5"/>
  <legacyDrawing r:id="rId4"/>
  <oleObjects>
    <oleObject progId="Equation.3" shapeId="87656647" r:id="rId1"/>
    <oleObject progId="Equation.3" shapeId="87656646" r:id="rId2"/>
    <oleObject progId="Equation.3" shapeId="8765663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theme="3"/>
  </sheetPr>
  <dimension ref="B1:U152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9" width="11.421875" style="0" customWidth="1"/>
    <col min="10" max="10" width="11.421875" style="185" customWidth="1"/>
    <col min="11" max="11" width="11.421875" style="0" customWidth="1"/>
    <col min="12" max="13" width="11.421875" style="185" customWidth="1"/>
    <col min="14" max="14" width="17.7109375" style="185" customWidth="1"/>
    <col min="15" max="18" width="11.421875" style="185" customWidth="1"/>
  </cols>
  <sheetData>
    <row r="1" spans="2:18" ht="12.75">
      <c r="B1" s="142" t="s">
        <v>199</v>
      </c>
      <c r="J1" s="202" t="s">
        <v>165</v>
      </c>
      <c r="L1" s="206" t="str">
        <f>Index!J2</f>
        <v>Rev. cjc. 11.07.2016</v>
      </c>
      <c r="R1" s="1"/>
    </row>
    <row r="2" spans="2:18" ht="23.25" thickBot="1">
      <c r="B2" s="20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  <c r="Q2" s="1"/>
      <c r="R2" s="1"/>
    </row>
    <row r="3" spans="2:20" ht="15.75" thickTop="1">
      <c r="B3" s="213" t="s">
        <v>325</v>
      </c>
      <c r="C3" s="148"/>
      <c r="D3" s="148"/>
      <c r="E3" s="148"/>
      <c r="F3" s="148"/>
      <c r="G3" s="148"/>
      <c r="H3" s="148"/>
      <c r="I3" s="148"/>
      <c r="J3" s="148"/>
      <c r="K3" s="148"/>
      <c r="L3" s="151"/>
      <c r="M3" s="1"/>
      <c r="N3" s="247" t="s">
        <v>320</v>
      </c>
      <c r="O3" s="233" t="str">
        <f>'1. O.P Air'!D5</f>
        <v>Air</v>
      </c>
      <c r="P3" s="228"/>
      <c r="Q3" s="1"/>
      <c r="R3" s="238" t="s">
        <v>269</v>
      </c>
      <c r="S3" s="225"/>
      <c r="T3" s="228"/>
    </row>
    <row r="4" spans="2:20" ht="15">
      <c r="B4" s="147"/>
      <c r="C4" s="1"/>
      <c r="D4" s="1"/>
      <c r="E4" s="1"/>
      <c r="F4" s="1"/>
      <c r="G4" s="1"/>
      <c r="H4" s="1"/>
      <c r="I4" s="1"/>
      <c r="J4" s="1"/>
      <c r="K4" s="1"/>
      <c r="L4" s="152"/>
      <c r="M4" s="1"/>
      <c r="N4" s="241" t="s">
        <v>172</v>
      </c>
      <c r="O4" s="140" t="s">
        <v>0</v>
      </c>
      <c r="P4" s="229"/>
      <c r="Q4" s="1"/>
      <c r="R4" s="223" t="s">
        <v>205</v>
      </c>
      <c r="S4" s="240">
        <f>'1. O.P Air'!P9</f>
        <v>134.81793904121662</v>
      </c>
      <c r="T4" s="229" t="s">
        <v>18</v>
      </c>
    </row>
    <row r="5" spans="2:20" s="161" customFormat="1" ht="12.75">
      <c r="B5" s="147"/>
      <c r="C5" s="1"/>
      <c r="D5" s="1"/>
      <c r="E5" s="1"/>
      <c r="F5" s="1"/>
      <c r="G5" s="1"/>
      <c r="H5" s="1"/>
      <c r="I5" s="1"/>
      <c r="J5" s="1"/>
      <c r="K5" s="1"/>
      <c r="L5" s="152"/>
      <c r="M5" s="1"/>
      <c r="N5" s="223" t="s">
        <v>20</v>
      </c>
      <c r="O5" s="233">
        <f>'1. O.P Air'!D7</f>
        <v>10</v>
      </c>
      <c r="P5" s="229" t="s">
        <v>6</v>
      </c>
      <c r="Q5" s="1"/>
      <c r="R5" s="247" t="s">
        <v>270</v>
      </c>
      <c r="S5" s="225"/>
      <c r="T5" s="228"/>
    </row>
    <row r="6" spans="2:20" s="161" customFormat="1" ht="12.75">
      <c r="B6" s="147"/>
      <c r="C6" s="1"/>
      <c r="D6" s="1"/>
      <c r="E6" s="1"/>
      <c r="F6" s="1"/>
      <c r="G6" s="1"/>
      <c r="H6" s="1"/>
      <c r="I6" s="1"/>
      <c r="J6" s="1"/>
      <c r="K6" s="1"/>
      <c r="L6" s="152"/>
      <c r="M6" s="1"/>
      <c r="N6" s="241" t="s">
        <v>257</v>
      </c>
      <c r="O6" s="140" t="s">
        <v>0</v>
      </c>
      <c r="P6" s="229"/>
      <c r="Q6" s="1"/>
      <c r="R6" s="271" t="s">
        <v>19</v>
      </c>
      <c r="S6" s="317">
        <f>'1. O.P Air'!P16</f>
        <v>389611.25854338263</v>
      </c>
      <c r="T6" s="230"/>
    </row>
    <row r="7" spans="2:20" s="161" customFormat="1" ht="12.75">
      <c r="B7" s="147"/>
      <c r="C7" s="1"/>
      <c r="D7" s="1"/>
      <c r="E7" s="1"/>
      <c r="F7" s="1"/>
      <c r="G7" s="1"/>
      <c r="H7" s="1"/>
      <c r="I7" s="1"/>
      <c r="J7" s="1"/>
      <c r="K7" s="1"/>
      <c r="L7" s="152"/>
      <c r="M7" s="1"/>
      <c r="N7" s="223" t="s">
        <v>22</v>
      </c>
      <c r="O7" s="233">
        <f>'1. O.P Air'!D9</f>
        <v>1.4</v>
      </c>
      <c r="P7" s="229" t="s">
        <v>10</v>
      </c>
      <c r="Q7" s="1"/>
      <c r="R7" s="247" t="s">
        <v>274</v>
      </c>
      <c r="S7" s="225"/>
      <c r="T7" s="228"/>
    </row>
    <row r="8" spans="2:20" ht="12.75">
      <c r="B8" s="147"/>
      <c r="C8" s="1"/>
      <c r="D8" s="1"/>
      <c r="E8" s="1"/>
      <c r="F8" s="1"/>
      <c r="G8" s="1"/>
      <c r="H8" s="1"/>
      <c r="I8" s="1"/>
      <c r="J8" s="1"/>
      <c r="K8" s="1"/>
      <c r="L8" s="152"/>
      <c r="M8" s="1"/>
      <c r="N8" s="318" t="s">
        <v>258</v>
      </c>
      <c r="O8" s="140" t="s">
        <v>0</v>
      </c>
      <c r="P8" s="229"/>
      <c r="Q8" s="1"/>
      <c r="R8" s="271" t="s">
        <v>208</v>
      </c>
      <c r="S8" s="249">
        <f>'1. O.P Air'!P22</f>
        <v>0.0405</v>
      </c>
      <c r="T8" s="230" t="s">
        <v>10</v>
      </c>
    </row>
    <row r="9" spans="2:20" ht="12.75">
      <c r="B9" s="147"/>
      <c r="C9" s="1"/>
      <c r="D9" s="1"/>
      <c r="E9" s="1"/>
      <c r="F9" s="1"/>
      <c r="G9" s="1"/>
      <c r="H9" s="1"/>
      <c r="I9" s="1"/>
      <c r="J9" s="1"/>
      <c r="K9" s="1"/>
      <c r="L9" s="152"/>
      <c r="M9" s="1"/>
      <c r="N9" s="263" t="s">
        <v>196</v>
      </c>
      <c r="O9" s="233">
        <f>'1. O.P Air'!D11</f>
        <v>287</v>
      </c>
      <c r="P9" s="319" t="s">
        <v>197</v>
      </c>
      <c r="Q9" s="1"/>
      <c r="R9" s="238" t="s">
        <v>271</v>
      </c>
      <c r="S9" s="225"/>
      <c r="T9" s="228"/>
    </row>
    <row r="10" spans="2:20" ht="12.75">
      <c r="B10" s="147"/>
      <c r="C10" s="1"/>
      <c r="D10" s="1"/>
      <c r="E10" s="1"/>
      <c r="F10" s="1"/>
      <c r="G10" s="1"/>
      <c r="H10" s="1"/>
      <c r="I10" s="1"/>
      <c r="J10" s="1"/>
      <c r="K10" s="1"/>
      <c r="L10" s="152"/>
      <c r="M10" s="1"/>
      <c r="N10" s="241" t="s">
        <v>259</v>
      </c>
      <c r="O10" s="140" t="s">
        <v>0</v>
      </c>
      <c r="P10" s="229"/>
      <c r="Q10" s="1"/>
      <c r="R10" s="271" t="s">
        <v>184</v>
      </c>
      <c r="S10" s="259">
        <f>'1. O.P Air'!D37</f>
        <v>0.881424431131072</v>
      </c>
      <c r="T10" s="260" t="s">
        <v>10</v>
      </c>
    </row>
    <row r="11" spans="2:20" ht="15.75">
      <c r="B11" s="147"/>
      <c r="C11" s="1"/>
      <c r="D11" s="1"/>
      <c r="E11" s="1"/>
      <c r="F11" s="1"/>
      <c r="G11" s="1"/>
      <c r="H11" s="1"/>
      <c r="I11" s="1"/>
      <c r="J11" s="1"/>
      <c r="K11" s="1"/>
      <c r="L11" s="152"/>
      <c r="M11" s="1"/>
      <c r="N11" s="223" t="s">
        <v>191</v>
      </c>
      <c r="O11" s="316">
        <f>'1. O.P Air'!D13</f>
        <v>170263</v>
      </c>
      <c r="P11" s="229" t="s">
        <v>168</v>
      </c>
      <c r="Q11" s="1"/>
      <c r="R11" s="238" t="s">
        <v>272</v>
      </c>
      <c r="S11" s="225"/>
      <c r="T11" s="228"/>
    </row>
    <row r="12" spans="2:20" ht="12.75">
      <c r="B12" s="147"/>
      <c r="C12" s="1"/>
      <c r="D12" s="1"/>
      <c r="E12" s="1"/>
      <c r="F12" s="1"/>
      <c r="G12" s="1"/>
      <c r="H12" s="1"/>
      <c r="I12" s="1"/>
      <c r="J12" s="1"/>
      <c r="K12" s="1"/>
      <c r="L12" s="152"/>
      <c r="M12" s="1"/>
      <c r="N12" s="241" t="s">
        <v>260</v>
      </c>
      <c r="O12" s="140" t="s">
        <v>0</v>
      </c>
      <c r="P12" s="229"/>
      <c r="Q12" s="1"/>
      <c r="R12" s="271" t="s">
        <v>173</v>
      </c>
      <c r="S12" s="262">
        <f>'1. O.P Air'!D45</f>
        <v>0.5962502683610623</v>
      </c>
      <c r="T12" s="230"/>
    </row>
    <row r="13" spans="2:20" ht="12.75">
      <c r="B13" s="147"/>
      <c r="C13" s="1"/>
      <c r="D13" s="1"/>
      <c r="E13" s="1"/>
      <c r="F13" s="1"/>
      <c r="G13" s="1"/>
      <c r="H13" s="1"/>
      <c r="I13" s="1"/>
      <c r="J13" s="1"/>
      <c r="K13" s="1"/>
      <c r="L13" s="152"/>
      <c r="M13" s="1"/>
      <c r="N13" s="223" t="s">
        <v>188</v>
      </c>
      <c r="O13" s="316">
        <f>'1. O.P Air'!D15</f>
        <v>68938</v>
      </c>
      <c r="P13" s="229" t="s">
        <v>168</v>
      </c>
      <c r="Q13" s="1"/>
      <c r="R13" s="238" t="s">
        <v>273</v>
      </c>
      <c r="S13" s="7"/>
      <c r="T13" s="229"/>
    </row>
    <row r="14" spans="2:20" ht="12.75">
      <c r="B14" s="147"/>
      <c r="C14" s="1"/>
      <c r="D14" s="1"/>
      <c r="E14" s="1"/>
      <c r="F14" s="1"/>
      <c r="G14" s="1"/>
      <c r="H14" s="1"/>
      <c r="I14" s="1"/>
      <c r="J14" s="1"/>
      <c r="K14" s="1"/>
      <c r="L14" s="152"/>
      <c r="M14" s="1"/>
      <c r="N14" s="241" t="s">
        <v>261</v>
      </c>
      <c r="O14" s="140" t="s">
        <v>0</v>
      </c>
      <c r="P14" s="229"/>
      <c r="Q14" s="1"/>
      <c r="R14" s="271" t="s">
        <v>192</v>
      </c>
      <c r="S14" s="270">
        <f>'1. O.P Air'!D50</f>
        <v>1.0000013452127456</v>
      </c>
      <c r="T14" s="230" t="s">
        <v>10</v>
      </c>
    </row>
    <row r="15" spans="2:17" ht="15.75">
      <c r="B15" s="147"/>
      <c r="C15" s="1"/>
      <c r="D15" s="1"/>
      <c r="E15" s="1"/>
      <c r="F15" s="1"/>
      <c r="G15" s="1"/>
      <c r="H15" s="1"/>
      <c r="I15" s="1"/>
      <c r="J15" s="1"/>
      <c r="K15" s="1"/>
      <c r="L15" s="152"/>
      <c r="M15" s="1"/>
      <c r="N15" s="223" t="s">
        <v>202</v>
      </c>
      <c r="O15" s="316">
        <f>'1. O.P Air'!D17</f>
        <v>101325</v>
      </c>
      <c r="P15" s="229" t="s">
        <v>168</v>
      </c>
      <c r="Q15" s="1"/>
    </row>
    <row r="16" spans="2:17" ht="12.75">
      <c r="B16" s="147"/>
      <c r="C16" s="1"/>
      <c r="D16" s="1"/>
      <c r="E16" s="1"/>
      <c r="F16" s="1"/>
      <c r="G16" s="1"/>
      <c r="H16" s="1"/>
      <c r="I16" s="1"/>
      <c r="J16" s="1"/>
      <c r="K16" s="1"/>
      <c r="L16" s="152"/>
      <c r="M16" s="1"/>
      <c r="N16" s="241" t="s">
        <v>262</v>
      </c>
      <c r="O16" s="140" t="s">
        <v>0</v>
      </c>
      <c r="P16" s="229"/>
      <c r="Q16" s="1"/>
    </row>
    <row r="17" spans="2:21" ht="15.75">
      <c r="B17" s="147"/>
      <c r="C17" s="1"/>
      <c r="D17" s="1"/>
      <c r="E17" s="1"/>
      <c r="F17" s="1"/>
      <c r="G17" s="1"/>
      <c r="H17" s="1"/>
      <c r="I17" s="1"/>
      <c r="J17" s="1"/>
      <c r="K17" s="1"/>
      <c r="L17" s="152"/>
      <c r="M17" s="1"/>
      <c r="N17" s="223" t="s">
        <v>190</v>
      </c>
      <c r="O17" s="297">
        <f>'1. O.P Air'!D19</f>
        <v>600</v>
      </c>
      <c r="P17" s="229" t="s">
        <v>3</v>
      </c>
      <c r="Q17" s="1"/>
      <c r="R17" s="224" t="s">
        <v>346</v>
      </c>
      <c r="S17" s="264" t="s">
        <v>345</v>
      </c>
      <c r="T17" s="228"/>
      <c r="U17" s="1"/>
    </row>
    <row r="18" spans="2:21" ht="15.75">
      <c r="B18" s="147"/>
      <c r="C18" s="1"/>
      <c r="D18" s="1"/>
      <c r="E18" s="1"/>
      <c r="F18" s="1"/>
      <c r="G18" s="1"/>
      <c r="H18" s="1"/>
      <c r="I18" s="1"/>
      <c r="J18" s="1"/>
      <c r="K18" s="1"/>
      <c r="L18" s="152"/>
      <c r="M18" s="1"/>
      <c r="N18" s="241" t="s">
        <v>324</v>
      </c>
      <c r="O18" s="140"/>
      <c r="P18" s="229"/>
      <c r="Q18" s="1"/>
      <c r="R18" s="271" t="s">
        <v>346</v>
      </c>
      <c r="S18" s="270">
        <f>'1. O.P Air'!H45</f>
        <v>225.088140535645</v>
      </c>
      <c r="T18" s="260" t="s">
        <v>175</v>
      </c>
      <c r="U18" s="1"/>
    </row>
    <row r="19" spans="2:17" ht="15.75">
      <c r="B19" s="147"/>
      <c r="C19" s="1"/>
      <c r="D19" s="1"/>
      <c r="E19" s="1"/>
      <c r="F19" s="1"/>
      <c r="G19" s="1"/>
      <c r="H19" s="1"/>
      <c r="I19" s="1"/>
      <c r="J19" s="1"/>
      <c r="K19" s="1"/>
      <c r="L19" s="152"/>
      <c r="M19" s="1"/>
      <c r="N19" s="223" t="s">
        <v>189</v>
      </c>
      <c r="O19" s="233">
        <f>'1. O.P Air'!D21</f>
        <v>24.3</v>
      </c>
      <c r="P19" s="229" t="s">
        <v>3</v>
      </c>
      <c r="Q19" s="1"/>
    </row>
    <row r="20" spans="2:17" s="161" customFormat="1" ht="15.75">
      <c r="B20" s="147"/>
      <c r="C20" s="1"/>
      <c r="D20" s="1"/>
      <c r="E20" s="1"/>
      <c r="F20" s="1"/>
      <c r="G20" s="1"/>
      <c r="H20" s="1"/>
      <c r="I20" s="1"/>
      <c r="J20" s="1"/>
      <c r="K20" s="1"/>
      <c r="L20" s="152"/>
      <c r="M20" s="1"/>
      <c r="N20" s="223" t="s">
        <v>189</v>
      </c>
      <c r="O20" s="7">
        <f>O19/1000</f>
        <v>0.024300000000000002</v>
      </c>
      <c r="P20" s="229" t="s">
        <v>5</v>
      </c>
      <c r="Q20" s="1"/>
    </row>
    <row r="21" spans="2:17" s="161" customFormat="1" ht="12.75">
      <c r="B21" s="147"/>
      <c r="C21" s="1"/>
      <c r="D21" s="1"/>
      <c r="E21" s="1"/>
      <c r="F21" s="1"/>
      <c r="G21" s="1"/>
      <c r="H21" s="1"/>
      <c r="I21" s="1"/>
      <c r="J21" s="1"/>
      <c r="K21" s="1"/>
      <c r="L21" s="152"/>
      <c r="M21" s="1"/>
      <c r="N21" s="261" t="s">
        <v>265</v>
      </c>
      <c r="O21" s="1"/>
      <c r="P21" s="229"/>
      <c r="Q21" s="1"/>
    </row>
    <row r="22" spans="2:17" s="161" customFormat="1" ht="12.75">
      <c r="B22" s="147"/>
      <c r="C22" s="1"/>
      <c r="D22" s="1"/>
      <c r="E22" s="1"/>
      <c r="F22" s="1"/>
      <c r="G22" s="1"/>
      <c r="H22" s="1"/>
      <c r="I22" s="1"/>
      <c r="J22" s="1"/>
      <c r="K22" s="1"/>
      <c r="L22" s="152"/>
      <c r="M22" s="1"/>
      <c r="N22" s="237" t="s">
        <v>295</v>
      </c>
      <c r="O22" s="7"/>
      <c r="P22" s="244" t="s">
        <v>0</v>
      </c>
      <c r="Q22" s="1"/>
    </row>
    <row r="23" spans="2:17" s="161" customFormat="1" ht="12.75">
      <c r="B23" s="147"/>
      <c r="C23" s="1"/>
      <c r="D23" s="1"/>
      <c r="E23" s="1"/>
      <c r="F23" s="1"/>
      <c r="G23" s="1"/>
      <c r="H23" s="1"/>
      <c r="I23" s="1"/>
      <c r="J23" s="1"/>
      <c r="K23" s="1"/>
      <c r="L23" s="152"/>
      <c r="M23" s="1"/>
      <c r="N23" s="223" t="s">
        <v>20</v>
      </c>
      <c r="O23" s="7">
        <v>10</v>
      </c>
      <c r="P23" s="229" t="s">
        <v>6</v>
      </c>
      <c r="Q23" s="1"/>
    </row>
    <row r="24" spans="2:17" s="161" customFormat="1" ht="12.75">
      <c r="B24" s="147"/>
      <c r="C24" s="1"/>
      <c r="D24" s="1"/>
      <c r="E24" s="1"/>
      <c r="F24" s="1"/>
      <c r="G24" s="1"/>
      <c r="H24" s="1"/>
      <c r="I24" s="1"/>
      <c r="J24" s="1"/>
      <c r="K24" s="1"/>
      <c r="L24" s="152"/>
      <c r="M24" s="1"/>
      <c r="N24" s="223" t="s">
        <v>250</v>
      </c>
      <c r="O24" s="207" t="s">
        <v>253</v>
      </c>
      <c r="P24" s="229"/>
      <c r="Q24" s="1"/>
    </row>
    <row r="25" spans="2:17" s="161" customFormat="1" ht="12.75">
      <c r="B25" s="147"/>
      <c r="C25" s="1"/>
      <c r="D25" s="1"/>
      <c r="E25" s="1"/>
      <c r="F25" s="1"/>
      <c r="G25" s="1"/>
      <c r="H25" s="1"/>
      <c r="I25" s="1"/>
      <c r="J25" s="1"/>
      <c r="K25" s="1"/>
      <c r="L25" s="152"/>
      <c r="M25" s="1"/>
      <c r="N25" s="223" t="s">
        <v>250</v>
      </c>
      <c r="O25" s="212">
        <f>AirAbsoluteViscosity_t(O23)</f>
        <v>1.7617499906918965E-05</v>
      </c>
      <c r="P25" s="245" t="s">
        <v>37</v>
      </c>
      <c r="Q25" s="1"/>
    </row>
    <row r="26" spans="2:17" ht="12.75">
      <c r="B26" s="147"/>
      <c r="C26" s="1"/>
      <c r="D26" s="1"/>
      <c r="E26" s="1"/>
      <c r="F26" s="1"/>
      <c r="G26" s="1"/>
      <c r="H26" s="1"/>
      <c r="I26" s="1"/>
      <c r="J26" s="1"/>
      <c r="K26" s="1"/>
      <c r="L26" s="152"/>
      <c r="M26" s="1"/>
      <c r="N26" s="241" t="s">
        <v>266</v>
      </c>
      <c r="O26" s="1"/>
      <c r="P26" s="229"/>
      <c r="Q26" s="1"/>
    </row>
    <row r="27" spans="2:16" ht="15.75">
      <c r="B27" s="147"/>
      <c r="C27" s="1"/>
      <c r="D27" s="1"/>
      <c r="E27" s="1"/>
      <c r="F27" s="1"/>
      <c r="G27" s="1"/>
      <c r="H27" s="1"/>
      <c r="I27" s="1"/>
      <c r="J27" s="1"/>
      <c r="K27" s="1"/>
      <c r="L27" s="152"/>
      <c r="N27" s="223" t="s">
        <v>203</v>
      </c>
      <c r="O27" s="1" t="s">
        <v>206</v>
      </c>
      <c r="P27" s="229" t="s">
        <v>267</v>
      </c>
    </row>
    <row r="28" spans="2:16" ht="15.75">
      <c r="B28" s="147"/>
      <c r="C28" s="1"/>
      <c r="D28" s="1"/>
      <c r="E28" s="1"/>
      <c r="F28" s="1"/>
      <c r="G28" s="1"/>
      <c r="H28" s="1"/>
      <c r="I28" s="1"/>
      <c r="J28" s="1"/>
      <c r="K28" s="1"/>
      <c r="L28" s="152"/>
      <c r="N28" s="223" t="s">
        <v>204</v>
      </c>
      <c r="O28" s="26">
        <f>O11</f>
        <v>170263</v>
      </c>
      <c r="P28" s="229" t="s">
        <v>168</v>
      </c>
    </row>
    <row r="29" spans="2:16" ht="12.75">
      <c r="B29" s="147"/>
      <c r="C29" s="1"/>
      <c r="D29" s="1"/>
      <c r="E29" s="1"/>
      <c r="F29" s="1"/>
      <c r="G29" s="1"/>
      <c r="H29" s="1"/>
      <c r="I29" s="1"/>
      <c r="J29" s="1"/>
      <c r="K29" s="1"/>
      <c r="L29" s="152"/>
      <c r="N29" s="223" t="s">
        <v>196</v>
      </c>
      <c r="O29" s="7">
        <f>O9</f>
        <v>287</v>
      </c>
      <c r="P29" s="229" t="s">
        <v>197</v>
      </c>
    </row>
    <row r="30" spans="2:16" ht="12.75">
      <c r="B30" s="147"/>
      <c r="C30" s="1"/>
      <c r="D30" s="1"/>
      <c r="E30" s="1"/>
      <c r="F30" s="1"/>
      <c r="G30" s="1"/>
      <c r="H30" s="1"/>
      <c r="I30" s="1"/>
      <c r="J30" s="1"/>
      <c r="K30" s="1"/>
      <c r="L30" s="152"/>
      <c r="N30" s="223" t="s">
        <v>167</v>
      </c>
      <c r="O30" s="7">
        <f>273.15+K5</f>
        <v>273.15</v>
      </c>
      <c r="P30" s="229" t="s">
        <v>7</v>
      </c>
    </row>
    <row r="31" spans="2:16" ht="15.75">
      <c r="B31" s="147"/>
      <c r="C31" s="1"/>
      <c r="D31" s="1"/>
      <c r="E31" s="1"/>
      <c r="F31" s="1"/>
      <c r="G31" s="1"/>
      <c r="H31" s="1"/>
      <c r="I31" s="1"/>
      <c r="J31" s="1"/>
      <c r="K31" s="1"/>
      <c r="L31" s="152"/>
      <c r="N31" s="223" t="s">
        <v>203</v>
      </c>
      <c r="O31" s="240">
        <f>O28/(O29*O30)</f>
        <v>2.1718867694678363</v>
      </c>
      <c r="P31" s="229" t="s">
        <v>194</v>
      </c>
    </row>
    <row r="32" spans="2:16" ht="12.75">
      <c r="B32" s="147"/>
      <c r="C32" s="1"/>
      <c r="D32" s="1"/>
      <c r="E32" s="1"/>
      <c r="F32" s="1"/>
      <c r="G32" s="1"/>
      <c r="H32" s="1"/>
      <c r="I32" s="1"/>
      <c r="J32" s="1"/>
      <c r="K32" s="1"/>
      <c r="L32" s="152"/>
      <c r="N32" s="237" t="s">
        <v>268</v>
      </c>
      <c r="O32" s="1"/>
      <c r="P32" s="229"/>
    </row>
    <row r="33" spans="2:18" ht="12.75">
      <c r="B33" s="147"/>
      <c r="C33" s="1"/>
      <c r="D33" s="1"/>
      <c r="E33" s="1"/>
      <c r="F33" s="1"/>
      <c r="G33" s="1"/>
      <c r="H33" s="1"/>
      <c r="I33" s="1"/>
      <c r="J33" s="1"/>
      <c r="K33" s="1"/>
      <c r="L33" s="152"/>
      <c r="N33" s="223" t="s">
        <v>187</v>
      </c>
      <c r="O33" s="7" t="s">
        <v>251</v>
      </c>
      <c r="P33" s="229" t="s">
        <v>0</v>
      </c>
      <c r="R33" s="1"/>
    </row>
    <row r="34" spans="2:18" ht="12.75">
      <c r="B34" s="147"/>
      <c r="C34" s="1"/>
      <c r="D34" s="1"/>
      <c r="E34" s="1"/>
      <c r="F34" s="1"/>
      <c r="G34" s="1"/>
      <c r="H34" s="1"/>
      <c r="I34" s="1"/>
      <c r="J34" s="1"/>
      <c r="K34" s="1"/>
      <c r="L34" s="152"/>
      <c r="N34" s="223" t="s">
        <v>250</v>
      </c>
      <c r="O34" s="166">
        <f>O25</f>
        <v>1.7617499906918965E-05</v>
      </c>
      <c r="P34" s="245" t="s">
        <v>37</v>
      </c>
      <c r="R34" s="1"/>
    </row>
    <row r="35" spans="2:18" ht="15.75">
      <c r="B35" s="147"/>
      <c r="C35" s="1"/>
      <c r="D35" s="1"/>
      <c r="E35" s="1"/>
      <c r="F35" s="1"/>
      <c r="G35" s="1"/>
      <c r="H35" s="1"/>
      <c r="I35" s="1"/>
      <c r="J35" s="1"/>
      <c r="K35" s="1"/>
      <c r="L35" s="152"/>
      <c r="N35" s="223" t="s">
        <v>203</v>
      </c>
      <c r="O35" s="16">
        <f>O31</f>
        <v>2.1718867694678363</v>
      </c>
      <c r="P35" s="229" t="s">
        <v>194</v>
      </c>
      <c r="R35" s="1"/>
    </row>
    <row r="36" spans="2:18" ht="12.75">
      <c r="B36" s="147"/>
      <c r="C36" s="1"/>
      <c r="D36" s="1"/>
      <c r="E36" s="1"/>
      <c r="F36" s="1"/>
      <c r="G36" s="1"/>
      <c r="H36" s="1"/>
      <c r="I36" s="1"/>
      <c r="J36" s="1"/>
      <c r="K36" s="1"/>
      <c r="L36" s="152"/>
      <c r="N36" s="271" t="s">
        <v>187</v>
      </c>
      <c r="O36" s="243">
        <f>O34/O35</f>
        <v>8.111610676294911E-06</v>
      </c>
      <c r="P36" s="246" t="s">
        <v>27</v>
      </c>
      <c r="R36" s="1"/>
    </row>
    <row r="37" spans="2:18" s="161" customFormat="1" ht="13.5" thickBot="1"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3"/>
      <c r="M37" s="185"/>
      <c r="Q37" s="185"/>
      <c r="R37" s="1"/>
    </row>
    <row r="38" ht="13.5" thickTop="1">
      <c r="R38" s="1"/>
    </row>
    <row r="39" ht="12.75">
      <c r="R39" s="1"/>
    </row>
    <row r="40" ht="12.75">
      <c r="R40" s="1"/>
    </row>
    <row r="42" ht="12.75"/>
    <row r="43" ht="12.75"/>
    <row r="44" ht="12.75"/>
    <row r="45" ht="12.75"/>
    <row r="46" ht="12.75"/>
    <row r="47" ht="12.75"/>
    <row r="48" spans="14:16" ht="12.75">
      <c r="N48" s="1"/>
      <c r="O48" s="1"/>
      <c r="P48" s="1"/>
    </row>
    <row r="49" spans="14:16" s="185" customFormat="1" ht="12.75">
      <c r="N49" s="1"/>
      <c r="O49" s="1"/>
      <c r="P49" s="1"/>
    </row>
    <row r="50" spans="14:16" s="185" customFormat="1" ht="12.75">
      <c r="N50" s="1"/>
      <c r="O50" s="1"/>
      <c r="P50" s="1"/>
    </row>
    <row r="51" s="185" customFormat="1" ht="12.75"/>
    <row r="52" s="185" customFormat="1" ht="12.75"/>
    <row r="53" s="185" customFormat="1" ht="12.75"/>
    <row r="54" s="185" customFormat="1" ht="12.75"/>
    <row r="55" s="185" customFormat="1" ht="12.75"/>
    <row r="56" s="204" customFormat="1" ht="12.75"/>
    <row r="57" s="204" customFormat="1" ht="12.75"/>
    <row r="58" s="204" customFormat="1" ht="12.75"/>
    <row r="59" s="204" customFormat="1" ht="12.75"/>
    <row r="60" s="204" customFormat="1" ht="12.75"/>
    <row r="61" s="204" customFormat="1" ht="12.75"/>
    <row r="62" s="204" customFormat="1" ht="12.75"/>
    <row r="63" s="204" customFormat="1" ht="12.75"/>
    <row r="64" s="204" customFormat="1" ht="12.75"/>
    <row r="65" s="204" customFormat="1" ht="12.75"/>
    <row r="66" s="204" customFormat="1" ht="12.75"/>
    <row r="67" s="204" customFormat="1" ht="12.75"/>
    <row r="68" s="204" customFormat="1" ht="12.75"/>
    <row r="69" s="204" customFormat="1" ht="12.75"/>
    <row r="70" s="185" customFormat="1" ht="12.75"/>
    <row r="71" s="185" customFormat="1" ht="12.75"/>
    <row r="72" spans="2:19" s="161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Q72" s="1"/>
      <c r="R72" s="1"/>
      <c r="S72"/>
    </row>
    <row r="73" spans="2:19" s="161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Q73" s="1"/>
      <c r="R73" s="1"/>
      <c r="S73"/>
    </row>
    <row r="74" spans="2:19" s="161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Q74" s="1"/>
      <c r="R74" s="1"/>
      <c r="S74"/>
    </row>
    <row r="75" spans="2:18" s="161" customFormat="1" ht="12.75">
      <c r="B75" s="4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Q75" s="1"/>
      <c r="R75" s="1"/>
    </row>
    <row r="76" spans="2:18" s="161" customFormat="1" ht="12.75">
      <c r="B76" s="4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Q76" s="1"/>
      <c r="R76" s="1"/>
    </row>
    <row r="77" spans="2:18" s="161" customFormat="1" ht="12.75">
      <c r="B77" s="4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Q77" s="1"/>
      <c r="R77" s="1"/>
    </row>
    <row r="78" spans="2:18" s="161" customFormat="1" ht="12.75">
      <c r="B78" s="4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Q78" s="1"/>
      <c r="R78" s="1"/>
    </row>
    <row r="79" spans="2:18" s="161" customFormat="1" ht="12.75">
      <c r="B79" s="4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Q79" s="1"/>
      <c r="R79" s="1"/>
    </row>
    <row r="80" spans="2:18" s="161" customFormat="1" ht="12.75">
      <c r="B80" s="4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Q80" s="1"/>
      <c r="R80" s="1"/>
    </row>
    <row r="81" spans="2:18" s="161" customFormat="1" ht="12.75">
      <c r="B81" s="4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Q81" s="1"/>
      <c r="R81" s="1"/>
    </row>
    <row r="82" spans="2:18" s="161" customFormat="1" ht="12.75">
      <c r="B82" s="4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Q82" s="1"/>
      <c r="R82" s="1"/>
    </row>
    <row r="83" spans="2:18" s="161" customFormat="1" ht="12.75">
      <c r="B83" s="4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Q83" s="1"/>
      <c r="R83" s="1"/>
    </row>
    <row r="84" spans="2:19" ht="12.75">
      <c r="B84" s="4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Q84" s="1"/>
      <c r="R84" s="1"/>
      <c r="S84" s="161"/>
    </row>
    <row r="85" spans="2:18" s="161" customFormat="1" ht="12.75">
      <c r="B85" s="4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Q85" s="1"/>
      <c r="R85" s="1"/>
    </row>
    <row r="86" spans="2:18" s="161" customFormat="1" ht="12.75">
      <c r="B86" s="4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Q86" s="1"/>
      <c r="R86" s="1"/>
    </row>
    <row r="87" spans="2:19" s="161" customFormat="1" ht="12.75">
      <c r="B87" s="4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7" t="s">
        <v>0</v>
      </c>
      <c r="O87" s="1"/>
      <c r="P87" s="1"/>
      <c r="Q87" s="1"/>
      <c r="R87" s="1"/>
      <c r="S87"/>
    </row>
    <row r="88" spans="2:18" s="161" customFormat="1" ht="12.75">
      <c r="B88" s="4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s="161" customFormat="1" ht="12.75">
      <c r="B89" s="4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s="161" customFormat="1" ht="12.75">
      <c r="B90" s="4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 t="s">
        <v>368</v>
      </c>
    </row>
    <row r="91" spans="2:18" s="161" customFormat="1" ht="12.75">
      <c r="B91" s="4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s="161" customFormat="1" ht="12.75">
      <c r="B92" s="4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s="161" customFormat="1" ht="12.75">
      <c r="B93" s="4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s="161" customFormat="1" ht="12.75">
      <c r="B94" s="4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s="161" customFormat="1" ht="12.75">
      <c r="B95" s="4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s="161" customFormat="1" ht="12.75">
      <c r="B96" s="4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s="161" customFormat="1" ht="12.75">
      <c r="B97" s="4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s="161" customFormat="1" ht="12.75">
      <c r="B98" s="4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s="161" customFormat="1" ht="12.75">
      <c r="B99" s="4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s="161" customFormat="1" ht="12.75">
      <c r="B100" s="4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s="161" customFormat="1" ht="12.75">
      <c r="B101" s="4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s="161" customFormat="1" ht="12.75">
      <c r="B102" s="4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s="161" customFormat="1" ht="12.75">
      <c r="B103" s="4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s="161" customFormat="1" ht="12.75">
      <c r="B104" s="4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s="161" customFormat="1" ht="12.75">
      <c r="B105" s="4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s="161" customFormat="1" ht="12.75">
      <c r="B106" s="4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s="161" customFormat="1" ht="12.75">
      <c r="B107" s="4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s="161" customFormat="1" ht="12.75">
      <c r="B108" s="4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s="161" customFormat="1" ht="12.75">
      <c r="B109" s="4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s="161" customFormat="1" ht="12.75">
      <c r="B110" s="4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s="161" customFormat="1" ht="12.75">
      <c r="B111" s="4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s="161" customFormat="1" ht="12.75">
      <c r="B112" s="4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s="161" customFormat="1" ht="12.75">
      <c r="B113" s="4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s="161" customFormat="1" ht="12.75">
      <c r="B114" s="4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s="161" customFormat="1" ht="12.75">
      <c r="B115" s="4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s="161" customFormat="1" ht="12.75">
      <c r="B116" s="4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s="161" customFormat="1" ht="12.75">
      <c r="B117" s="4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s="161" customFormat="1" ht="12.75">
      <c r="B118" s="4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s="161" customFormat="1" ht="12.75">
      <c r="B119" s="4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s="161" customFormat="1" ht="12.75">
      <c r="B120" s="4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s="161" customFormat="1" ht="12.75">
      <c r="B121" s="4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s="161" customFormat="1" ht="12.75">
      <c r="B122" s="4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s="161" customFormat="1" ht="12.75">
      <c r="B123" s="4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s="161" customFormat="1" ht="12.75">
      <c r="B124" s="4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s="185" customFormat="1" ht="12.75">
      <c r="B125" s="4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s="185" customFormat="1" ht="12.75">
      <c r="B126" s="4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s="185" customFormat="1" ht="12.75">
      <c r="B127" s="4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s="161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s="161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1" spans="10:18" s="161" customFormat="1" ht="12.75">
      <c r="J131" s="185"/>
      <c r="L131" s="185"/>
      <c r="M131" s="185"/>
      <c r="N131" s="185"/>
      <c r="O131" s="185"/>
      <c r="P131" s="185"/>
      <c r="Q131" s="185"/>
      <c r="R131" s="185"/>
    </row>
    <row r="132" spans="10:18" s="161" customFormat="1" ht="12.75">
      <c r="J132" s="185"/>
      <c r="L132" s="185"/>
      <c r="M132" s="185"/>
      <c r="N132" s="185"/>
      <c r="O132" s="185"/>
      <c r="P132" s="185"/>
      <c r="Q132" s="185"/>
      <c r="R132" s="185"/>
    </row>
    <row r="133" s="185" customFormat="1" ht="12.75"/>
    <row r="134" s="185" customFormat="1" ht="13.5" thickBot="1"/>
    <row r="135" spans="2:18" s="161" customFormat="1" ht="14.25" thickBot="1" thickTop="1">
      <c r="B135" s="174" t="s">
        <v>198</v>
      </c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7"/>
    </row>
    <row r="136" s="185" customFormat="1" ht="13.5" thickTop="1"/>
    <row r="137" s="185" customFormat="1" ht="12.75"/>
    <row r="138" s="185" customFormat="1" ht="12.75"/>
    <row r="139" spans="10:18" s="161" customFormat="1" ht="12.75">
      <c r="J139" s="185"/>
      <c r="L139" s="185"/>
      <c r="M139" s="185"/>
      <c r="N139" s="185"/>
      <c r="O139" s="185"/>
      <c r="P139" s="185"/>
      <c r="Q139" s="185"/>
      <c r="R139" s="185"/>
    </row>
    <row r="140" spans="10:18" s="161" customFormat="1" ht="12.75">
      <c r="J140" s="185"/>
      <c r="L140" s="185"/>
      <c r="M140" s="185"/>
      <c r="N140" s="185"/>
      <c r="O140" s="185"/>
      <c r="P140" s="185"/>
      <c r="Q140" s="185"/>
      <c r="R140" s="185"/>
    </row>
    <row r="141" spans="10:18" s="161" customFormat="1" ht="12.75">
      <c r="J141" s="185"/>
      <c r="L141" s="185"/>
      <c r="M141" s="185"/>
      <c r="N141" s="185"/>
      <c r="O141" s="185"/>
      <c r="P141" s="185"/>
      <c r="Q141" s="185"/>
      <c r="R141" s="185"/>
    </row>
    <row r="142" spans="10:18" s="161" customFormat="1" ht="12.75">
      <c r="J142" s="185"/>
      <c r="L142" s="185"/>
      <c r="M142" s="185"/>
      <c r="N142" s="185"/>
      <c r="O142" s="185"/>
      <c r="P142" s="185"/>
      <c r="Q142" s="185"/>
      <c r="R142" s="185"/>
    </row>
    <row r="143" spans="10:18" s="161" customFormat="1" ht="12.75">
      <c r="J143" s="185"/>
      <c r="L143" s="185"/>
      <c r="M143" s="185"/>
      <c r="N143" s="185"/>
      <c r="O143" s="185"/>
      <c r="P143" s="185"/>
      <c r="Q143" s="185"/>
      <c r="R143" s="185"/>
    </row>
    <row r="144" spans="10:18" s="161" customFormat="1" ht="12.75">
      <c r="J144" s="185"/>
      <c r="L144" s="185"/>
      <c r="M144" s="185"/>
      <c r="N144" s="185"/>
      <c r="O144" s="185"/>
      <c r="P144" s="185"/>
      <c r="Q144" s="185"/>
      <c r="R144" s="185"/>
    </row>
    <row r="145" ht="12.75"/>
    <row r="146" ht="12.75"/>
    <row r="147" ht="12.75"/>
    <row r="148" ht="12.75"/>
    <row r="149" spans="10:18" s="161" customFormat="1" ht="12.75">
      <c r="J149" s="185"/>
      <c r="L149" s="185"/>
      <c r="M149" s="185"/>
      <c r="N149" s="185"/>
      <c r="O149" s="185"/>
      <c r="P149" s="185"/>
      <c r="Q149" s="185"/>
      <c r="R149" s="185"/>
    </row>
    <row r="150" ht="12.75"/>
    <row r="151" spans="2:18" s="161" customFormat="1" ht="12.75">
      <c r="B151" s="160"/>
      <c r="C151" s="162"/>
      <c r="J151" s="185"/>
      <c r="L151" s="185"/>
      <c r="M151" s="185"/>
      <c r="N151" s="185"/>
      <c r="O151" s="185"/>
      <c r="P151" s="185"/>
      <c r="Q151" s="185"/>
      <c r="R151" s="185"/>
    </row>
    <row r="152" spans="10:18" s="161" customFormat="1" ht="12.75">
      <c r="J152" s="185"/>
      <c r="L152" s="185"/>
      <c r="M152" s="185"/>
      <c r="N152" s="185"/>
      <c r="O152" s="185"/>
      <c r="P152" s="185"/>
      <c r="Q152" s="185"/>
      <c r="R152" s="185"/>
    </row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</sheetData>
  <sheetProtection/>
  <hyperlinks>
    <hyperlink ref="B1" r:id="rId1" display="http://www.flowmeterdirectory.com/flowmeter_orifice_calc.html"/>
  </hyperlinks>
  <printOptions/>
  <pageMargins left="0.7" right="0.7" top="0.75" bottom="0.75" header="0.3" footer="0.3"/>
  <pageSetup horizontalDpi="600" verticalDpi="600" orientation="portrait" scale="38" r:id="rId3"/>
  <rowBreaks count="1" manualBreakCount="1">
    <brk id="137" max="25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theme="3"/>
  </sheetPr>
  <dimension ref="B1:P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185" customWidth="1"/>
    <col min="2" max="2" width="2.28125" style="185" customWidth="1"/>
    <col min="3" max="5" width="11.421875" style="185" customWidth="1"/>
    <col min="6" max="6" width="8.8515625" style="185" customWidth="1"/>
    <col min="7" max="7" width="3.8515625" style="185" customWidth="1"/>
    <col min="8" max="8" width="3.7109375" style="185" customWidth="1"/>
    <col min="9" max="9" width="10.8515625" style="185" customWidth="1"/>
    <col min="10" max="11" width="12.140625" style="185" customWidth="1"/>
    <col min="12" max="12" width="9.28125" style="185" customWidth="1"/>
    <col min="13" max="13" width="4.28125" style="185" customWidth="1"/>
    <col min="14" max="14" width="3.57421875" style="185" customWidth="1"/>
    <col min="15" max="15" width="11.7109375" style="185" customWidth="1"/>
    <col min="16" max="16" width="9.00390625" style="185" customWidth="1"/>
    <col min="17" max="18" width="11.421875" style="185" customWidth="1"/>
    <col min="19" max="19" width="4.7109375" style="185" customWidth="1"/>
    <col min="20" max="20" width="4.421875" style="185" customWidth="1"/>
    <col min="21" max="16384" width="11.421875" style="185" customWidth="1"/>
  </cols>
  <sheetData>
    <row r="1" spans="3:12" ht="12.75">
      <c r="C1" s="204" t="s">
        <v>327</v>
      </c>
      <c r="L1" s="206" t="str">
        <f>Index!J2</f>
        <v>Rev. cjc. 11.07.2016</v>
      </c>
    </row>
    <row r="2" ht="13.5" thickBot="1"/>
    <row r="3" spans="2:13" ht="16.5" thickBot="1" thickTop="1">
      <c r="B3" s="343" t="s">
        <v>302</v>
      </c>
      <c r="C3" s="344"/>
      <c r="D3" s="344"/>
      <c r="E3" s="344"/>
      <c r="F3" s="344"/>
      <c r="G3" s="344"/>
      <c r="H3" s="344"/>
      <c r="I3" s="344"/>
      <c r="J3" s="344"/>
      <c r="K3" s="344"/>
      <c r="L3" s="345"/>
      <c r="M3" s="192"/>
    </row>
    <row r="4" ht="14.25" thickBot="1" thickTop="1"/>
    <row r="5" spans="2:13" ht="13.5" thickTop="1">
      <c r="B5" s="3"/>
      <c r="C5" s="4"/>
      <c r="D5" s="4"/>
      <c r="E5" s="4"/>
      <c r="F5" s="5"/>
      <c r="G5" s="1"/>
      <c r="H5" s="3"/>
      <c r="I5" s="4"/>
      <c r="J5" s="4"/>
      <c r="K5" s="4"/>
      <c r="L5" s="5"/>
      <c r="M5" s="1"/>
    </row>
    <row r="6" spans="2:13" ht="12.75">
      <c r="B6" s="6"/>
      <c r="C6" s="145" t="s">
        <v>313</v>
      </c>
      <c r="D6" s="1"/>
      <c r="E6" s="1"/>
      <c r="F6" s="9"/>
      <c r="G6" s="1"/>
      <c r="H6" s="6"/>
      <c r="I6" s="145" t="s">
        <v>303</v>
      </c>
      <c r="J6" s="1"/>
      <c r="K6" s="1"/>
      <c r="L6" s="9"/>
      <c r="M6" s="1"/>
    </row>
    <row r="7" spans="2:13" ht="12.75">
      <c r="B7" s="6"/>
      <c r="C7" s="1"/>
      <c r="D7" s="1"/>
      <c r="E7" s="1"/>
      <c r="F7" s="9"/>
      <c r="G7" s="1"/>
      <c r="H7" s="6"/>
      <c r="I7" s="145" t="s">
        <v>304</v>
      </c>
      <c r="J7" s="1"/>
      <c r="K7" s="1"/>
      <c r="L7" s="9"/>
      <c r="M7" s="1"/>
    </row>
    <row r="8" spans="2:13" ht="12.75">
      <c r="B8" s="6"/>
      <c r="C8" s="1" t="s">
        <v>301</v>
      </c>
      <c r="D8" s="1"/>
      <c r="E8" s="1"/>
      <c r="F8" s="9"/>
      <c r="G8" s="1"/>
      <c r="H8" s="6"/>
      <c r="I8" s="1"/>
      <c r="J8" s="1"/>
      <c r="K8" s="1"/>
      <c r="L8" s="9"/>
      <c r="M8" s="1"/>
    </row>
    <row r="9" spans="2:13" ht="12.75">
      <c r="B9" s="6"/>
      <c r="C9" s="1"/>
      <c r="D9" s="1"/>
      <c r="E9" s="1"/>
      <c r="F9" s="9"/>
      <c r="G9" s="1"/>
      <c r="H9" s="6"/>
      <c r="I9" s="1" t="s">
        <v>305</v>
      </c>
      <c r="J9" s="1"/>
      <c r="K9" s="1"/>
      <c r="L9" s="9"/>
      <c r="M9" s="1"/>
    </row>
    <row r="10" spans="2:13" ht="12.75">
      <c r="B10" s="6"/>
      <c r="C10" s="1" t="s">
        <v>0</v>
      </c>
      <c r="D10" s="1"/>
      <c r="E10" s="1"/>
      <c r="F10" s="9" t="s">
        <v>252</v>
      </c>
      <c r="G10" s="1"/>
      <c r="H10" s="6"/>
      <c r="I10" s="1"/>
      <c r="J10" s="1"/>
      <c r="K10" s="1"/>
      <c r="L10" s="9"/>
      <c r="M10" s="1"/>
    </row>
    <row r="11" spans="2:13" ht="12.75">
      <c r="B11" s="6"/>
      <c r="C11" s="1" t="s">
        <v>0</v>
      </c>
      <c r="D11" s="1"/>
      <c r="E11" s="1" t="s">
        <v>0</v>
      </c>
      <c r="F11" s="9"/>
      <c r="G11" s="1"/>
      <c r="H11" s="6"/>
      <c r="I11" s="1"/>
      <c r="J11" s="1"/>
      <c r="K11" s="1"/>
      <c r="L11" s="9"/>
      <c r="M11" s="1"/>
    </row>
    <row r="12" spans="2:13" ht="12.75">
      <c r="B12" s="6"/>
      <c r="C12" s="1" t="s">
        <v>0</v>
      </c>
      <c r="D12" s="1"/>
      <c r="E12" s="1"/>
      <c r="F12" s="9"/>
      <c r="G12" s="1"/>
      <c r="H12" s="6"/>
      <c r="I12" s="1"/>
      <c r="J12" s="1"/>
      <c r="K12" s="1"/>
      <c r="L12" s="9"/>
      <c r="M12" s="1"/>
    </row>
    <row r="13" spans="2:13" ht="12.75">
      <c r="B13" s="6"/>
      <c r="C13" s="1" t="s">
        <v>0</v>
      </c>
      <c r="D13" s="1"/>
      <c r="E13" s="1"/>
      <c r="F13" s="9"/>
      <c r="G13" s="1"/>
      <c r="H13" s="6"/>
      <c r="I13" s="1"/>
      <c r="J13" s="1"/>
      <c r="K13" s="1"/>
      <c r="L13" s="9"/>
      <c r="M13" s="1"/>
    </row>
    <row r="14" spans="2:13" ht="15">
      <c r="B14" s="6"/>
      <c r="C14" s="1" t="s">
        <v>306</v>
      </c>
      <c r="D14" s="1"/>
      <c r="E14" s="1"/>
      <c r="F14" s="9"/>
      <c r="G14" s="1"/>
      <c r="H14" s="6"/>
      <c r="I14" s="1" t="s">
        <v>306</v>
      </c>
      <c r="J14" s="1"/>
      <c r="K14" s="1"/>
      <c r="L14" s="9"/>
      <c r="M14" s="1"/>
    </row>
    <row r="15" spans="2:13" ht="12.75">
      <c r="B15" s="6"/>
      <c r="C15" s="1" t="s">
        <v>307</v>
      </c>
      <c r="D15" s="1"/>
      <c r="E15" s="1"/>
      <c r="F15" s="9"/>
      <c r="G15" s="1"/>
      <c r="H15" s="6"/>
      <c r="I15" s="1" t="s">
        <v>307</v>
      </c>
      <c r="J15" s="1"/>
      <c r="K15" s="1"/>
      <c r="L15" s="9"/>
      <c r="M15" s="1"/>
    </row>
    <row r="16" spans="2:13" ht="12.75">
      <c r="B16" s="6"/>
      <c r="C16" s="1" t="s">
        <v>308</v>
      </c>
      <c r="D16" s="1"/>
      <c r="E16" s="1"/>
      <c r="F16" s="9"/>
      <c r="G16" s="1"/>
      <c r="H16" s="6"/>
      <c r="I16" s="1" t="s">
        <v>308</v>
      </c>
      <c r="J16" s="1"/>
      <c r="K16" s="1"/>
      <c r="L16" s="9"/>
      <c r="M16" s="1"/>
    </row>
    <row r="17" spans="2:13" ht="12.75">
      <c r="B17" s="6"/>
      <c r="C17" s="1" t="s">
        <v>309</v>
      </c>
      <c r="D17" s="1"/>
      <c r="E17" s="1"/>
      <c r="F17" s="9"/>
      <c r="G17" s="1"/>
      <c r="H17" s="6"/>
      <c r="I17" s="1" t="s">
        <v>309</v>
      </c>
      <c r="J17" s="1"/>
      <c r="K17" s="1"/>
      <c r="L17" s="9"/>
      <c r="M17" s="1"/>
    </row>
    <row r="18" spans="2:13" ht="12.75">
      <c r="B18" s="6"/>
      <c r="C18" s="1"/>
      <c r="D18" s="1"/>
      <c r="E18" s="1"/>
      <c r="F18" s="9"/>
      <c r="G18" s="1"/>
      <c r="H18" s="6"/>
      <c r="I18" s="1"/>
      <c r="J18" s="1"/>
      <c r="K18" s="1"/>
      <c r="L18" s="9"/>
      <c r="M18" s="1"/>
    </row>
    <row r="19" spans="2:13" ht="12.75">
      <c r="B19" s="6"/>
      <c r="C19" s="1" t="s">
        <v>310</v>
      </c>
      <c r="D19" s="1"/>
      <c r="E19" s="1"/>
      <c r="F19" s="9"/>
      <c r="G19" s="1"/>
      <c r="H19" s="6"/>
      <c r="I19" s="1" t="s">
        <v>311</v>
      </c>
      <c r="J19" s="1"/>
      <c r="K19" s="1"/>
      <c r="L19" s="9"/>
      <c r="M19" s="1"/>
    </row>
    <row r="20" spans="2:13" ht="12.75">
      <c r="B20" s="6"/>
      <c r="C20" s="1"/>
      <c r="D20" s="1"/>
      <c r="E20" s="1"/>
      <c r="F20" s="9"/>
      <c r="G20" s="1"/>
      <c r="H20" s="6"/>
      <c r="I20" s="8" t="s">
        <v>0</v>
      </c>
      <c r="J20" s="1"/>
      <c r="K20" s="1"/>
      <c r="L20" s="9"/>
      <c r="M20" s="1"/>
    </row>
    <row r="21" spans="2:13" ht="12.75">
      <c r="B21" s="6"/>
      <c r="C21" s="1"/>
      <c r="D21" s="1"/>
      <c r="E21" s="1"/>
      <c r="F21" s="9"/>
      <c r="G21" s="1"/>
      <c r="H21" s="6"/>
      <c r="I21" s="1"/>
      <c r="J21" s="1"/>
      <c r="K21" s="1"/>
      <c r="L21" s="9"/>
      <c r="M21" s="1"/>
    </row>
    <row r="22" spans="2:13" ht="12.75">
      <c r="B22" s="6"/>
      <c r="C22" s="193" t="s">
        <v>312</v>
      </c>
      <c r="D22" s="194"/>
      <c r="E22" s="8"/>
      <c r="F22" s="9"/>
      <c r="G22" s="1"/>
      <c r="H22" s="6"/>
      <c r="I22" s="193" t="s">
        <v>312</v>
      </c>
      <c r="J22" s="1"/>
      <c r="K22" s="1"/>
      <c r="L22" s="9"/>
      <c r="M22" s="1"/>
    </row>
    <row r="23" spans="2:13" ht="12.75">
      <c r="B23" s="6"/>
      <c r="C23" s="140" t="s">
        <v>1</v>
      </c>
      <c r="D23" s="8" t="s">
        <v>210</v>
      </c>
      <c r="E23" s="8"/>
      <c r="F23" s="9"/>
      <c r="G23" s="1"/>
      <c r="H23" s="6"/>
      <c r="I23" s="7" t="s">
        <v>174</v>
      </c>
      <c r="J23" s="1" t="s">
        <v>241</v>
      </c>
      <c r="K23" s="1"/>
      <c r="L23" s="9"/>
      <c r="M23" s="1"/>
    </row>
    <row r="24" spans="2:13" ht="12.75">
      <c r="B24" s="6"/>
      <c r="C24" s="140" t="s">
        <v>173</v>
      </c>
      <c r="D24" s="144">
        <v>0.61</v>
      </c>
      <c r="E24" s="8" t="s">
        <v>299</v>
      </c>
      <c r="F24" s="9"/>
      <c r="G24" s="1"/>
      <c r="H24" s="6"/>
      <c r="I24" s="7" t="s">
        <v>1</v>
      </c>
      <c r="J24" s="14">
        <f>D27</f>
        <v>13.064092887553736</v>
      </c>
      <c r="K24" s="1" t="s">
        <v>175</v>
      </c>
      <c r="L24" s="9"/>
      <c r="M24" s="1"/>
    </row>
    <row r="25" spans="2:13" ht="12.75">
      <c r="B25" s="6"/>
      <c r="C25" s="140" t="s">
        <v>17</v>
      </c>
      <c r="D25" s="144">
        <v>25.4</v>
      </c>
      <c r="E25" s="8" t="s">
        <v>3</v>
      </c>
      <c r="F25" s="9"/>
      <c r="G25" s="1"/>
      <c r="H25" s="6"/>
      <c r="I25" s="7" t="s">
        <v>173</v>
      </c>
      <c r="J25" s="11">
        <f>D24</f>
        <v>0.61</v>
      </c>
      <c r="K25" s="8" t="s">
        <v>299</v>
      </c>
      <c r="L25" s="9"/>
      <c r="M25" s="1"/>
    </row>
    <row r="26" spans="2:13" ht="12.75">
      <c r="B26" s="6"/>
      <c r="C26" s="140" t="s">
        <v>174</v>
      </c>
      <c r="D26" s="180">
        <v>7.03</v>
      </c>
      <c r="E26" s="8" t="s">
        <v>5</v>
      </c>
      <c r="F26" s="9"/>
      <c r="G26" s="1"/>
      <c r="H26" s="6"/>
      <c r="I26" s="7" t="s">
        <v>17</v>
      </c>
      <c r="J26" s="11">
        <f>D25</f>
        <v>25.4</v>
      </c>
      <c r="K26" s="1" t="s">
        <v>3</v>
      </c>
      <c r="L26" s="9"/>
      <c r="M26" s="1"/>
    </row>
    <row r="27" spans="2:13" ht="12.75">
      <c r="B27" s="6"/>
      <c r="C27" s="140" t="s">
        <v>1</v>
      </c>
      <c r="D27" s="170">
        <f>0.01252*D24*D25^2*(D26)^0.5</f>
        <v>13.064092887553736</v>
      </c>
      <c r="E27" s="8" t="s">
        <v>175</v>
      </c>
      <c r="F27" s="9"/>
      <c r="G27" s="1"/>
      <c r="H27" s="6"/>
      <c r="I27" s="140" t="s">
        <v>174</v>
      </c>
      <c r="J27" s="191">
        <f>J24^2/(0.000157*J25^2*J26^4)</f>
        <v>7.018823643312101</v>
      </c>
      <c r="K27" s="8" t="s">
        <v>5</v>
      </c>
      <c r="L27" s="9"/>
      <c r="M27" s="1"/>
    </row>
    <row r="28" spans="2:13" ht="13.5" thickBot="1">
      <c r="B28" s="18"/>
      <c r="C28" s="19"/>
      <c r="D28" s="19"/>
      <c r="E28" s="19"/>
      <c r="F28" s="20"/>
      <c r="G28" s="1"/>
      <c r="H28" s="18"/>
      <c r="I28" s="19"/>
      <c r="J28" s="19"/>
      <c r="K28" s="19"/>
      <c r="L28" s="20"/>
      <c r="M28" s="1"/>
    </row>
    <row r="29" ht="13.5" thickTop="1"/>
    <row r="30" ht="13.5" thickBot="1"/>
    <row r="31" spans="2:12" ht="16.5" thickBot="1" thickTop="1">
      <c r="B31" s="343" t="s">
        <v>314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5"/>
    </row>
    <row r="32" ht="14.25" thickBot="1" thickTop="1"/>
    <row r="33" spans="2:12" ht="13.5" thickTop="1">
      <c r="B33" s="3"/>
      <c r="C33" s="4"/>
      <c r="D33" s="4"/>
      <c r="E33" s="4"/>
      <c r="F33" s="5"/>
      <c r="H33" s="3"/>
      <c r="I33" s="4"/>
      <c r="J33" s="4"/>
      <c r="K33" s="4"/>
      <c r="L33" s="5"/>
    </row>
    <row r="34" spans="2:12" ht="12.75">
      <c r="B34" s="6"/>
      <c r="C34" s="145" t="s">
        <v>315</v>
      </c>
      <c r="D34" s="1"/>
      <c r="E34" s="1"/>
      <c r="F34" s="9"/>
      <c r="G34" s="1"/>
      <c r="H34" s="6"/>
      <c r="I34" s="145" t="s">
        <v>303</v>
      </c>
      <c r="J34" s="1"/>
      <c r="K34" s="1"/>
      <c r="L34" s="9"/>
    </row>
    <row r="35" spans="2:12" ht="12.75">
      <c r="B35" s="6"/>
      <c r="C35" s="1"/>
      <c r="D35" s="1"/>
      <c r="E35" s="1"/>
      <c r="F35" s="9"/>
      <c r="G35" s="1"/>
      <c r="H35" s="6"/>
      <c r="I35" s="145" t="s">
        <v>316</v>
      </c>
      <c r="J35" s="1"/>
      <c r="K35" s="1"/>
      <c r="L35" s="9"/>
    </row>
    <row r="36" spans="2:12" ht="12.75">
      <c r="B36" s="6"/>
      <c r="C36" s="1" t="s">
        <v>301</v>
      </c>
      <c r="D36" s="1"/>
      <c r="E36" s="1"/>
      <c r="F36" s="9"/>
      <c r="H36" s="6"/>
      <c r="I36" s="1"/>
      <c r="J36" s="1"/>
      <c r="K36" s="1"/>
      <c r="L36" s="9"/>
    </row>
    <row r="37" spans="2:12" ht="12.75">
      <c r="B37" s="6"/>
      <c r="C37" s="1"/>
      <c r="D37" s="1"/>
      <c r="E37" s="1"/>
      <c r="F37" s="9"/>
      <c r="H37" s="6"/>
      <c r="I37" s="1" t="s">
        <v>317</v>
      </c>
      <c r="J37" s="1"/>
      <c r="K37" s="1"/>
      <c r="L37" s="9"/>
    </row>
    <row r="38" spans="2:12" ht="12.75">
      <c r="B38" s="6"/>
      <c r="C38" s="1" t="s">
        <v>0</v>
      </c>
      <c r="D38" s="1"/>
      <c r="E38" s="1"/>
      <c r="F38" s="9" t="s">
        <v>242</v>
      </c>
      <c r="H38" s="6"/>
      <c r="I38" s="1"/>
      <c r="J38" s="1"/>
      <c r="K38" s="1"/>
      <c r="L38" s="9"/>
    </row>
    <row r="39" spans="2:12" ht="12.75">
      <c r="B39" s="6"/>
      <c r="C39" s="1" t="s">
        <v>0</v>
      </c>
      <c r="D39" s="1"/>
      <c r="E39" s="1" t="s">
        <v>0</v>
      </c>
      <c r="F39" s="9"/>
      <c r="H39" s="6"/>
      <c r="I39" s="1"/>
      <c r="J39" s="1"/>
      <c r="K39" s="1"/>
      <c r="L39" s="9"/>
    </row>
    <row r="40" spans="2:12" ht="12.75">
      <c r="B40" s="6"/>
      <c r="C40" s="1" t="s">
        <v>0</v>
      </c>
      <c r="D40" s="1"/>
      <c r="E40" s="1"/>
      <c r="F40" s="9"/>
      <c r="H40" s="6"/>
      <c r="I40" s="1"/>
      <c r="J40" s="1"/>
      <c r="K40" s="1"/>
      <c r="L40" s="9"/>
    </row>
    <row r="41" spans="2:12" ht="12.75">
      <c r="B41" s="6"/>
      <c r="C41" s="1" t="s">
        <v>0</v>
      </c>
      <c r="D41" s="1"/>
      <c r="E41" s="1"/>
      <c r="F41" s="9"/>
      <c r="H41" s="6"/>
      <c r="I41" s="1"/>
      <c r="J41" s="1"/>
      <c r="K41" s="1"/>
      <c r="L41" s="9"/>
    </row>
    <row r="42" spans="2:12" ht="15">
      <c r="B42" s="6"/>
      <c r="C42" s="1" t="s">
        <v>306</v>
      </c>
      <c r="D42" s="1"/>
      <c r="E42" s="1"/>
      <c r="F42" s="9"/>
      <c r="G42" s="1"/>
      <c r="H42" s="6"/>
      <c r="I42" s="1" t="s">
        <v>306</v>
      </c>
      <c r="J42" s="1"/>
      <c r="K42" s="1"/>
      <c r="L42" s="9"/>
    </row>
    <row r="43" spans="2:12" ht="12.75">
      <c r="B43" s="6"/>
      <c r="C43" s="1" t="s">
        <v>307</v>
      </c>
      <c r="D43" s="1"/>
      <c r="E43" s="1"/>
      <c r="F43" s="9"/>
      <c r="G43" s="1"/>
      <c r="H43" s="6"/>
      <c r="I43" s="1" t="s">
        <v>307</v>
      </c>
      <c r="J43" s="1"/>
      <c r="K43" s="1"/>
      <c r="L43" s="9"/>
    </row>
    <row r="44" spans="2:12" ht="12.75">
      <c r="B44" s="6"/>
      <c r="C44" s="1" t="s">
        <v>308</v>
      </c>
      <c r="D44" s="1"/>
      <c r="E44" s="1"/>
      <c r="F44" s="9"/>
      <c r="G44" s="1"/>
      <c r="H44" s="6"/>
      <c r="I44" s="1" t="s">
        <v>308</v>
      </c>
      <c r="J44" s="1"/>
      <c r="K44" s="1"/>
      <c r="L44" s="9"/>
    </row>
    <row r="45" spans="2:12" ht="12.75">
      <c r="B45" s="6"/>
      <c r="C45" s="1" t="s">
        <v>309</v>
      </c>
      <c r="D45" s="1"/>
      <c r="E45" s="1"/>
      <c r="F45" s="9"/>
      <c r="G45" s="1"/>
      <c r="H45" s="6"/>
      <c r="I45" s="1" t="s">
        <v>309</v>
      </c>
      <c r="J45" s="1"/>
      <c r="K45" s="1"/>
      <c r="L45" s="9"/>
    </row>
    <row r="46" spans="2:16" ht="12.75">
      <c r="B46" s="6"/>
      <c r="C46" s="1"/>
      <c r="D46" s="1"/>
      <c r="E46" s="1"/>
      <c r="F46" s="9"/>
      <c r="H46" s="6"/>
      <c r="I46" s="1"/>
      <c r="J46" s="1"/>
      <c r="K46" s="1"/>
      <c r="L46" s="9"/>
      <c r="O46" s="184"/>
      <c r="P46" s="184"/>
    </row>
    <row r="47" spans="2:12" ht="12.75">
      <c r="B47" s="6"/>
      <c r="C47" s="1" t="s">
        <v>310</v>
      </c>
      <c r="D47" s="1"/>
      <c r="E47" s="1"/>
      <c r="F47" s="9"/>
      <c r="G47" s="1"/>
      <c r="H47" s="6"/>
      <c r="I47" s="1" t="s">
        <v>311</v>
      </c>
      <c r="J47" s="1"/>
      <c r="K47" s="1"/>
      <c r="L47" s="9"/>
    </row>
    <row r="48" spans="2:12" ht="12.75">
      <c r="B48" s="6"/>
      <c r="C48" s="1"/>
      <c r="D48" s="1"/>
      <c r="E48" s="1"/>
      <c r="F48" s="9"/>
      <c r="H48" s="6"/>
      <c r="I48" s="8" t="s">
        <v>240</v>
      </c>
      <c r="J48" s="1"/>
      <c r="K48" s="1"/>
      <c r="L48" s="9"/>
    </row>
    <row r="49" spans="2:12" ht="12.75">
      <c r="B49" s="6"/>
      <c r="C49" s="1"/>
      <c r="D49" s="1"/>
      <c r="E49" s="1"/>
      <c r="F49" s="9"/>
      <c r="H49" s="6"/>
      <c r="I49" s="1"/>
      <c r="J49" s="1"/>
      <c r="K49" s="1"/>
      <c r="L49" s="9"/>
    </row>
    <row r="50" spans="2:12" ht="12.75">
      <c r="B50" s="6"/>
      <c r="C50" s="193" t="s">
        <v>318</v>
      </c>
      <c r="D50" s="194"/>
      <c r="E50" s="8"/>
      <c r="F50" s="9"/>
      <c r="H50" s="6"/>
      <c r="I50" s="193" t="s">
        <v>318</v>
      </c>
      <c r="J50" s="1"/>
      <c r="K50" s="1"/>
      <c r="L50" s="9"/>
    </row>
    <row r="51" spans="2:12" ht="12.75">
      <c r="B51" s="6"/>
      <c r="C51" s="1"/>
      <c r="D51" s="1"/>
      <c r="E51" s="1"/>
      <c r="F51" s="9"/>
      <c r="H51" s="6"/>
      <c r="I51" s="7"/>
      <c r="J51" s="1"/>
      <c r="K51" s="1"/>
      <c r="L51" s="9"/>
    </row>
    <row r="52" spans="2:12" ht="12.75">
      <c r="B52" s="6"/>
      <c r="C52" s="7" t="s">
        <v>1</v>
      </c>
      <c r="D52" s="1" t="s">
        <v>243</v>
      </c>
      <c r="E52" s="1"/>
      <c r="F52" s="9"/>
      <c r="H52" s="6"/>
      <c r="I52" s="7" t="s">
        <v>174</v>
      </c>
      <c r="J52" s="1" t="s">
        <v>244</v>
      </c>
      <c r="K52" s="1"/>
      <c r="L52" s="9"/>
    </row>
    <row r="53" spans="2:12" ht="12.75">
      <c r="B53" s="6"/>
      <c r="C53" s="7" t="s">
        <v>25</v>
      </c>
      <c r="D53" s="195">
        <v>0.0034781</v>
      </c>
      <c r="E53" s="1" t="s">
        <v>10</v>
      </c>
      <c r="F53" s="9"/>
      <c r="H53" s="6"/>
      <c r="I53" s="7" t="s">
        <v>1</v>
      </c>
      <c r="J53" s="46">
        <v>949</v>
      </c>
      <c r="K53" s="1" t="s">
        <v>175</v>
      </c>
      <c r="L53" s="9"/>
    </row>
    <row r="54" spans="2:12" ht="12.75">
      <c r="B54" s="6"/>
      <c r="C54" s="7" t="s">
        <v>173</v>
      </c>
      <c r="D54" s="195">
        <v>0.61</v>
      </c>
      <c r="E54" s="8" t="s">
        <v>299</v>
      </c>
      <c r="F54" s="9"/>
      <c r="H54" s="6"/>
      <c r="I54" s="7" t="s">
        <v>1</v>
      </c>
      <c r="J54" s="196">
        <f>J53/3600*1000</f>
        <v>263.61111111111114</v>
      </c>
      <c r="K54" s="1" t="s">
        <v>179</v>
      </c>
      <c r="L54" s="9"/>
    </row>
    <row r="55" spans="2:12" ht="12.75">
      <c r="B55" s="6"/>
      <c r="C55" s="7" t="s">
        <v>17</v>
      </c>
      <c r="D55" s="46">
        <v>149</v>
      </c>
      <c r="E55" s="1" t="s">
        <v>3</v>
      </c>
      <c r="F55" s="9"/>
      <c r="H55" s="6"/>
      <c r="I55" s="7" t="s">
        <v>25</v>
      </c>
      <c r="J55" s="195">
        <v>0.0034781</v>
      </c>
      <c r="K55" s="1" t="s">
        <v>10</v>
      </c>
      <c r="L55" s="9"/>
    </row>
    <row r="56" spans="2:12" ht="12.75">
      <c r="B56" s="6"/>
      <c r="C56" s="7" t="s">
        <v>174</v>
      </c>
      <c r="D56" s="64">
        <f>J61</f>
        <v>30.7530398482296</v>
      </c>
      <c r="E56" s="1" t="s">
        <v>5</v>
      </c>
      <c r="F56" s="9"/>
      <c r="H56" s="6"/>
      <c r="I56" s="7" t="s">
        <v>173</v>
      </c>
      <c r="J56" s="195">
        <v>0.61</v>
      </c>
      <c r="K56" s="8" t="s">
        <v>299</v>
      </c>
      <c r="L56" s="9"/>
    </row>
    <row r="57" spans="2:12" ht="12.75">
      <c r="B57" s="6"/>
      <c r="C57" s="7" t="s">
        <v>245</v>
      </c>
      <c r="D57" s="197">
        <v>406</v>
      </c>
      <c r="E57" s="1" t="s">
        <v>3</v>
      </c>
      <c r="F57" s="9"/>
      <c r="H57" s="6"/>
      <c r="I57" s="7" t="s">
        <v>17</v>
      </c>
      <c r="J57" s="46">
        <v>149</v>
      </c>
      <c r="K57" s="1" t="s">
        <v>3</v>
      </c>
      <c r="L57" s="9"/>
    </row>
    <row r="58" spans="2:12" ht="12.75">
      <c r="B58" s="6"/>
      <c r="C58" s="35" t="s">
        <v>246</v>
      </c>
      <c r="D58" s="39" t="s">
        <v>247</v>
      </c>
      <c r="E58" s="1"/>
      <c r="F58" s="9"/>
      <c r="H58" s="6"/>
      <c r="I58" s="7" t="s">
        <v>245</v>
      </c>
      <c r="J58" s="197">
        <v>406</v>
      </c>
      <c r="K58" s="1" t="s">
        <v>3</v>
      </c>
      <c r="L58" s="9"/>
    </row>
    <row r="59" spans="2:12" ht="12.75">
      <c r="B59" s="6"/>
      <c r="C59" s="35" t="s">
        <v>246</v>
      </c>
      <c r="D59" s="168">
        <f>D55/D57</f>
        <v>0.3669950738916256</v>
      </c>
      <c r="E59" s="1" t="s">
        <v>248</v>
      </c>
      <c r="F59" s="9"/>
      <c r="H59" s="6"/>
      <c r="I59" s="35" t="s">
        <v>246</v>
      </c>
      <c r="J59" s="39" t="s">
        <v>247</v>
      </c>
      <c r="K59" s="1"/>
      <c r="L59" s="9"/>
    </row>
    <row r="60" spans="2:12" ht="12.75">
      <c r="B60" s="6"/>
      <c r="C60" s="7" t="s">
        <v>1</v>
      </c>
      <c r="D60" s="198">
        <f>D53*D54*D55^2*D56^0.5*(1/(1-D59^4))^0.5</f>
        <v>263.61111111111114</v>
      </c>
      <c r="E60" s="1" t="s">
        <v>179</v>
      </c>
      <c r="F60" s="9"/>
      <c r="H60" s="6"/>
      <c r="I60" s="35" t="s">
        <v>246</v>
      </c>
      <c r="J60" s="168">
        <f>J57/J58</f>
        <v>0.3669950738916256</v>
      </c>
      <c r="K60" s="1" t="s">
        <v>248</v>
      </c>
      <c r="L60" s="9"/>
    </row>
    <row r="61" spans="2:12" ht="12.75">
      <c r="B61" s="6"/>
      <c r="C61" s="7" t="s">
        <v>1</v>
      </c>
      <c r="D61" s="39">
        <f>D60*3.6</f>
        <v>949.0000000000001</v>
      </c>
      <c r="E61" s="1" t="s">
        <v>175</v>
      </c>
      <c r="F61" s="9"/>
      <c r="H61" s="6"/>
      <c r="I61" s="7" t="s">
        <v>174</v>
      </c>
      <c r="J61" s="170">
        <f>(J54/(J55*J56*J57^2*(1/(1-J60^4))^0.5))^2</f>
        <v>30.7530398482296</v>
      </c>
      <c r="K61" s="1" t="s">
        <v>4</v>
      </c>
      <c r="L61" s="9"/>
    </row>
    <row r="62" spans="2:12" ht="13.5" thickBot="1">
      <c r="B62" s="18"/>
      <c r="C62" s="19"/>
      <c r="D62" s="19"/>
      <c r="E62" s="19"/>
      <c r="F62" s="20"/>
      <c r="H62" s="18"/>
      <c r="I62" s="19"/>
      <c r="J62" s="19"/>
      <c r="K62" s="25" t="s">
        <v>0</v>
      </c>
      <c r="L62" s="20"/>
    </row>
    <row r="63" ht="13.5" thickTop="1"/>
  </sheetData>
  <sheetProtection/>
  <mergeCells count="2">
    <mergeCell ref="B3:L3"/>
    <mergeCell ref="B31:L31"/>
  </mergeCells>
  <printOptions/>
  <pageMargins left="0.7" right="0.7" top="0.75" bottom="0.75" header="0.3" footer="0.3"/>
  <pageSetup orientation="portrait" paperSize="9"/>
  <legacyDrawing r:id="rId5"/>
  <oleObjects>
    <oleObject progId="Equation.3" shapeId="87656645" r:id="rId1"/>
    <oleObject progId="Equation.3" shapeId="87656644" r:id="rId2"/>
    <oleObject progId="Equation.3" shapeId="87656643" r:id="rId3"/>
    <oleObject progId="Equation.3" shapeId="876566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cp:lastPrinted>2012-04-10T16:37:48Z</cp:lastPrinted>
  <dcterms:created xsi:type="dcterms:W3CDTF">2011-11-16T19:42:32Z</dcterms:created>
  <dcterms:modified xsi:type="dcterms:W3CDTF">2016-08-11T14:15:45Z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